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16" yWindow="65326" windowWidth="17415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<sst xmlns="http://schemas.openxmlformats.org/spreadsheetml/2006/main" count="166" uniqueCount="113">
  <si>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</si>
  <si>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</si>
  <si>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</si>
  <si>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</si>
  <si>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</si>
  <si>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</si>
  <si>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</si>
  <si>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</si>
  <si>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</si>
  <si>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</si>
  <si>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</si>
  <si>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</si>
  <si>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</si>
  <si>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</si>
  <si>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</si>
  <si>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</si>
  <si>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</si>
  <si>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</si>
  <si>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</si>
  <si>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</si>
  <si>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</si>
  <si>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</si>
  <si>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</si>
  <si>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</si>
  <si>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</si>
  <si>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</si>
  <si>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</si>
  <si>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</si>
  <si>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</si>
  <si>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</si>
  <si>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</si>
  <si>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</si>
  <si>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</si>
  <si>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</si>
  <si>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</si>
  <si>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</si>
  <si>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</si>
  <si>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</si>
  <si>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</si>
  <si>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</si>
  <si>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</si>
  <si>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</si>
  <si>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</si>
  <si>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</si>
  <si>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</si>
  <si>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</si>
  <si>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</si>
  <si>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</si>
  <si>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</si>
  <si>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</si>
  <si>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</si>
  <si>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</si>
  <si>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</si>
  <si>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</si>
  <si>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</si>
  <si>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</si>
  <si>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</si>
  <si>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</si>
  <si>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</si>
  <si>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</si>
  <si>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</si>
  <si>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</si>
  <si>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</si>
  <si>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</si>
  <si>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</si>
  <si>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</si>
  <si>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</si>
  <si>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</si>
  <si>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</si>
  <si>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</si>
  <si>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</si>
  <si>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</si>
  <si>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</si>
  <si>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</si>
  <si>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</si>
  <si>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</si>
  <si>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</si>
  <si>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</si>
  <si>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</si>
  <si>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</si>
  <si>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</si>
  <si>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</si>
  <si>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</si>
  <si>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</si>
  <si>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</si>
  <si>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</si>
  <si>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</si>
  <si>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</si>
  <si>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</si>
  <si>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</si>
  <si>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</si>
  <si>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</si>
  <si>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</si>
  <si>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</si>
  <si>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</si>
  <si>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</si>
  <si>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</si>
  <si>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</si>
  <si>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</si>
  <si>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</si>
  <si>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</si>
  <si>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</si>
  <si>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</si>
  <si>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</si>
  <si>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</si>
  <si>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</si>
  <si>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</si>
  <si>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</si>
  <si>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</si>
  <si>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</si>
  <si>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</si>
  <si>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</si>
  <si>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14.11.2018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</si>
</sst>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9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176228.1</c:v>
                </c:pt>
                <c:pt idx="1">
                  <c:v>166676.11000000007</c:v>
                </c:pt>
                <c:pt idx="2">
                  <c:v>1728.4000000000003</c:v>
                </c:pt>
                <c:pt idx="3">
                  <c:v>7823.589999999932</c:v>
                </c:pt>
              </c:numCache>
            </c:numRef>
          </c:val>
          <c:shape val="box"/>
        </c:ser>
        <c:shape val="box"/>
        <c:axId val="10742896"/>
        <c:axId val="29577201"/>
      </c:bar3DChart>
      <c:catAx>
        <c:axId val="1074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77201"/>
        <c:crosses val="autoZero"/>
        <c:auto val="1"/>
        <c:lblOffset val="100"/>
        <c:tickLblSkip val="1"/>
        <c:noMultiLvlLbl val="0"/>
      </c:catAx>
      <c:valAx>
        <c:axId val="29577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42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672302.5000000002</c:v>
                </c:pt>
                <c:pt idx="1">
                  <c:v>232201.29999999993</c:v>
                </c:pt>
                <c:pt idx="2">
                  <c:v>555704.8000000002</c:v>
                </c:pt>
                <c:pt idx="3">
                  <c:v>47</c:v>
                </c:pt>
                <c:pt idx="4">
                  <c:v>29790</c:v>
                </c:pt>
                <c:pt idx="5">
                  <c:v>59538.7</c:v>
                </c:pt>
                <c:pt idx="6">
                  <c:v>10190.599999999997</c:v>
                </c:pt>
                <c:pt idx="7">
                  <c:v>17031.400000000074</c:v>
                </c:pt>
              </c:numCache>
            </c:numRef>
          </c:val>
          <c:shape val="box"/>
        </c:ser>
        <c:shape val="box"/>
        <c:axId val="64868218"/>
        <c:axId val="46943051"/>
      </c:bar3DChart>
      <c:catAx>
        <c:axId val="6486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43051"/>
        <c:crosses val="autoZero"/>
        <c:auto val="1"/>
        <c:lblOffset val="100"/>
        <c:tickLblSkip val="1"/>
        <c:noMultiLvlLbl val="0"/>
      </c:catAx>
      <c:valAx>
        <c:axId val="46943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8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335476.6000000001</c:v>
                </c:pt>
                <c:pt idx="1">
                  <c:v>206611.5</c:v>
                </c:pt>
                <c:pt idx="2">
                  <c:v>335476.6000000001</c:v>
                </c:pt>
              </c:numCache>
            </c:numRef>
          </c:val>
          <c:shape val="box"/>
        </c:ser>
        <c:shape val="box"/>
        <c:axId val="19834276"/>
        <c:axId val="44290757"/>
      </c:bar3D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90757"/>
        <c:crosses val="autoZero"/>
        <c:auto val="1"/>
        <c:lblOffset val="100"/>
        <c:tickLblSkip val="1"/>
        <c:noMultiLvlLbl val="0"/>
      </c:catAx>
      <c:valAx>
        <c:axId val="44290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4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20185.500000000007</c:v>
                </c:pt>
                <c:pt idx="1">
                  <c:v>10946</c:v>
                </c:pt>
                <c:pt idx="2">
                  <c:v>59.6</c:v>
                </c:pt>
                <c:pt idx="3">
                  <c:v>1036.3</c:v>
                </c:pt>
                <c:pt idx="4">
                  <c:v>772.8999999999999</c:v>
                </c:pt>
                <c:pt idx="5">
                  <c:v>39.300000000000004</c:v>
                </c:pt>
                <c:pt idx="6">
                  <c:v>7331.400000000008</c:v>
                </c:pt>
              </c:numCache>
            </c:numRef>
          </c:val>
          <c:shape val="box"/>
        </c:ser>
        <c:shape val="box"/>
        <c:axId val="63072494"/>
        <c:axId val="30781535"/>
      </c:bar3DChart>
      <c:catAx>
        <c:axId val="6307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81535"/>
        <c:crosses val="autoZero"/>
        <c:auto val="1"/>
        <c:lblOffset val="100"/>
        <c:tickLblSkip val="1"/>
        <c:noMultiLvlLbl val="0"/>
      </c:catAx>
      <c:valAx>
        <c:axId val="30781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72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13897.215649999996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27345.799999999996</c:v>
                </c:pt>
                <c:pt idx="1">
                  <c:v>16219</c:v>
                </c:pt>
                <c:pt idx="2">
                  <c:v>2.7</c:v>
                </c:pt>
                <c:pt idx="3">
                  <c:v>755.3000000000001</c:v>
                </c:pt>
                <c:pt idx="4">
                  <c:v>583</c:v>
                </c:pt>
                <c:pt idx="5">
                  <c:v>1096</c:v>
                </c:pt>
                <c:pt idx="6">
                  <c:v>8689.799999999996</c:v>
                </c:pt>
              </c:numCache>
            </c:numRef>
          </c:val>
          <c:shape val="box"/>
        </c:ser>
        <c:shape val="box"/>
        <c:axId val="8598360"/>
        <c:axId val="10276377"/>
      </c:bar3DChart>
      <c:catAx>
        <c:axId val="859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76377"/>
        <c:crosses val="autoZero"/>
        <c:auto val="1"/>
        <c:lblOffset val="100"/>
        <c:tickLblSkip val="2"/>
        <c:noMultiLvlLbl val="0"/>
      </c:catAx>
      <c:valAx>
        <c:axId val="10276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983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7484.4000000000015</c:v>
                </c:pt>
                <c:pt idx="1">
                  <c:v>2554.1000000000004</c:v>
                </c:pt>
                <c:pt idx="2">
                  <c:v>391.1</c:v>
                </c:pt>
                <c:pt idx="3">
                  <c:v>247.1999999999999</c:v>
                </c:pt>
                <c:pt idx="4">
                  <c:v>3583.4</c:v>
                </c:pt>
                <c:pt idx="5">
                  <c:v>708.6000000000012</c:v>
                </c:pt>
              </c:numCache>
            </c:numRef>
          </c:val>
          <c:shape val="box"/>
        </c:ser>
        <c:shape val="box"/>
        <c:axId val="25378530"/>
        <c:axId val="27080179"/>
      </c:bar3DChart>
      <c:catAx>
        <c:axId val="25378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80179"/>
        <c:crosses val="autoZero"/>
        <c:auto val="1"/>
        <c:lblOffset val="100"/>
        <c:tickLblSkip val="1"/>
        <c:noMultiLvlLbl val="0"/>
      </c:catAx>
      <c:valAx>
        <c:axId val="27080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78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36599.600000000006</c:v>
                </c:pt>
              </c:numCache>
            </c:numRef>
          </c:val>
          <c:shape val="box"/>
        </c:ser>
        <c:shape val="box"/>
        <c:axId val="42395020"/>
        <c:axId val="46010861"/>
      </c:bar3DChart>
      <c:catAx>
        <c:axId val="423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010861"/>
        <c:crosses val="autoZero"/>
        <c:auto val="1"/>
        <c:lblOffset val="100"/>
        <c:tickLblSkip val="1"/>
        <c:noMultiLvlLbl val="0"/>
      </c:catAx>
      <c:valAx>
        <c:axId val="46010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5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672302.5000000002</c:v>
                </c:pt>
                <c:pt idx="1">
                  <c:v>335476.6000000001</c:v>
                </c:pt>
                <c:pt idx="2">
                  <c:v>20185.500000000007</c:v>
                </c:pt>
                <c:pt idx="3">
                  <c:v>27345.799999999996</c:v>
                </c:pt>
                <c:pt idx="4">
                  <c:v>7484.4000000000015</c:v>
                </c:pt>
                <c:pt idx="5">
                  <c:v>176228.1</c:v>
                </c:pt>
                <c:pt idx="6">
                  <c:v>36599.600000000006</c:v>
                </c:pt>
              </c:numCache>
            </c:numRef>
          </c:val>
          <c:shape val="box"/>
        </c:ser>
        <c:shape val="box"/>
        <c:axId val="11444566"/>
        <c:axId val="35892231"/>
      </c:bar3DChart>
      <c:catAx>
        <c:axId val="1144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92231"/>
        <c:crosses val="autoZero"/>
        <c:auto val="1"/>
        <c:lblOffset val="100"/>
        <c:tickLblSkip val="1"/>
        <c:noMultiLvlLbl val="0"/>
      </c:catAx>
      <c:valAx>
        <c:axId val="35892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4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1126538.8156499995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764349.3100000003</c:v>
                </c:pt>
                <c:pt idx="1">
                  <c:v>74747.90000000001</c:v>
                </c:pt>
                <c:pt idx="2">
                  <c:v>31055.999999999996</c:v>
                </c:pt>
                <c:pt idx="3">
                  <c:v>23838.499999999996</c:v>
                </c:pt>
                <c:pt idx="4">
                  <c:v>50.400000000000006</c:v>
                </c:pt>
                <c:pt idx="5">
                  <c:v>844103.19</c:v>
                </c:pt>
              </c:numCache>
            </c:numRef>
          </c:val>
          <c:shape val="box"/>
        </c:ser>
        <c:shape val="box"/>
        <c:axId val="54594624"/>
        <c:axId val="21589569"/>
      </c:bar3DChart>
      <c:catAx>
        <c:axId val="5459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89569"/>
        <c:crosses val="autoZero"/>
        <c:auto val="1"/>
        <c:lblOffset val="100"/>
        <c:tickLblSkip val="1"/>
        <c:noMultiLvlLbl val="0"/>
      </c:catAx>
      <c:valAx>
        <c:axId val="21589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46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B1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6" sqref="L136"/>
    </sheetView>
  </sheetViews>
  <sheetFormatPr defaultColWidth="9.00390625" defaultRowHeight="12.75"/>
  <cols>
    <col min="1" max="1" width="66.875" style="136" customWidth="1"/>
    <col min="2" max="2" width="19.00390625" style="136" customWidth="1"/>
    <col min="3" max="3" width="18.375" style="137" customWidth="1"/>
    <col min="4" max="4" width="19.00390625" style="137" customWidth="1"/>
    <col min="5" max="5" width="17.25390625" style="137" customWidth="1"/>
    <col min="6" max="7" width="19.375" style="137" customWidth="1"/>
    <col min="8" max="8" width="19.75390625" style="137" customWidth="1"/>
    <col min="9" max="9" width="21.00390625" style="137" customWidth="1"/>
    <col min="10" max="10" width="9.125" style="137" customWidth="1"/>
    <col min="11" max="11" width="21.125" style="137" bestFit="1" customWidth="1"/>
    <col min="12" max="12" width="31.375" style="137" bestFit="1" customWidth="1"/>
    <col min="13" max="16" width="9.125" style="137" customWidth="1"/>
    <col min="17" max="17" width="11.375" style="137" bestFit="1" customWidth="1"/>
    <col min="18" max="16384" width="9.125" style="137" customWidth="1"/>
  </cols>
  <sheetData>
    <row r="1" spans="1:9" ht="30">
      <c r="A1" s="162" t="s">
        <v>112</v>
      </c>
      <c r="B1" s="162"/>
      <c r="C1" s="162"/>
      <c r="D1" s="162"/>
      <c r="E1" s="162"/>
      <c r="F1" s="162"/>
      <c r="G1" s="162"/>
      <c r="H1" s="162"/>
      <c r="I1" s="162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6" t="s">
        <v>40</v>
      </c>
      <c r="B3" s="169" t="s">
        <v>109</v>
      </c>
      <c r="C3" s="163" t="s">
        <v>106</v>
      </c>
      <c r="D3" s="163" t="s">
        <v>22</v>
      </c>
      <c r="E3" s="163" t="s">
        <v>21</v>
      </c>
      <c r="F3" s="163" t="s">
        <v>110</v>
      </c>
      <c r="G3" s="163" t="s">
        <v>107</v>
      </c>
      <c r="H3" s="163" t="s">
        <v>111</v>
      </c>
      <c r="I3" s="163" t="s">
        <v>108</v>
      </c>
    </row>
    <row r="4" spans="1:9" ht="24.75" customHeight="1">
      <c r="A4" s="167"/>
      <c r="B4" s="170"/>
      <c r="C4" s="164"/>
      <c r="D4" s="164"/>
      <c r="E4" s="164"/>
      <c r="F4" s="164"/>
      <c r="G4" s="164"/>
      <c r="H4" s="164"/>
      <c r="I4" s="164"/>
    </row>
    <row r="5" spans="1:10" ht="39" customHeight="1" thickBot="1">
      <c r="A5" s="168"/>
      <c r="B5" s="171"/>
      <c r="C5" s="165"/>
      <c r="D5" s="165"/>
      <c r="E5" s="165"/>
      <c r="F5" s="165"/>
      <c r="G5" s="165"/>
      <c r="H5" s="165"/>
      <c r="I5" s="165"/>
      <c r="J5" s="151"/>
    </row>
    <row r="6" spans="1:11" ht="18.75" thickBot="1">
      <c r="A6" s="18" t="s">
        <v>26</v>
      </c>
      <c r="B6" s="35">
        <f>681593+809.8+52048.5+19179.6</f>
        <v>753630.9</v>
      </c>
      <c r="C6" s="36">
        <f>826775+13431.5+510-13431.5+16-2334+20.8+1070.1+1061.7</f>
        <v>827119.6</v>
      </c>
      <c r="D6" s="37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+914.7+1007.9+11799+9728.1+268.3+1685.8+29+319.8+1469.4+12.5+1110.4+12.9+855+32872.5+0.9+983.1+47.7+552.1+43.7+1450.2-0.1+876.5+2300.1+12192.9+9616.3+625.4</f>
        <v>672302.5000000002</v>
      </c>
      <c r="E6" s="3">
        <f>D6/D154*100</f>
        <v>38.67930373830083</v>
      </c>
      <c r="F6" s="3">
        <f>D6/B6*100</f>
        <v>89.20845734961242</v>
      </c>
      <c r="G6" s="3">
        <f aca="true" t="shared" si="0" ref="G6:G43">D6/C6*100</f>
        <v>81.2823804441341</v>
      </c>
      <c r="H6" s="37">
        <f>B6-D6</f>
        <v>81328.39999999979</v>
      </c>
      <c r="I6" s="37">
        <f aca="true" t="shared" si="1" ref="I6:I43">C6-D6</f>
        <v>154817.09999999974</v>
      </c>
      <c r="J6" s="152"/>
      <c r="K6" s="153"/>
    </row>
    <row r="7" spans="1:12" s="85" customFormat="1" ht="18.75">
      <c r="A7" s="128" t="s">
        <v>81</v>
      </c>
      <c r="B7" s="129">
        <f>223162+19179.6</f>
        <v>242341.6</v>
      </c>
      <c r="C7" s="130">
        <v>262517.6</v>
      </c>
      <c r="D7" s="131">
        <f>8282.7+10875.2+9132.6+9963.6+4.3+9215.1+9968.6+9459.9+11450.4+9572.3+23759.4-0.1+3644+36528.9+8511.9+179.9+764+816.4+0.1+3426.1+9016.3+0.5+9355.5+12599.9+4130.8+9728.1+12165.8+32.8+9616.3</f>
        <v>232201.29999999993</v>
      </c>
      <c r="E7" s="132">
        <f>D7/D6*100</f>
        <v>34.5382175434421</v>
      </c>
      <c r="F7" s="132">
        <f>D7/B7*100</f>
        <v>95.8156998220693</v>
      </c>
      <c r="G7" s="132">
        <f>D7/C7*100</f>
        <v>88.45170761884154</v>
      </c>
      <c r="H7" s="131">
        <f>B7-D7</f>
        <v>10140.300000000076</v>
      </c>
      <c r="I7" s="131">
        <f t="shared" si="1"/>
        <v>30316.300000000047</v>
      </c>
      <c r="J7" s="147"/>
      <c r="K7" s="153"/>
      <c r="L7" s="127"/>
    </row>
    <row r="8" spans="1:12" s="151" customFormat="1" ht="18">
      <c r="A8" s="92" t="s">
        <v>3</v>
      </c>
      <c r="B8" s="114">
        <v>603128.1</v>
      </c>
      <c r="C8" s="115">
        <f>649221.9+8415.5-2000+877</f>
        <v>656514.4</v>
      </c>
      <c r="D8" s="94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</f>
        <v>555704.8000000002</v>
      </c>
      <c r="E8" s="96">
        <f>D8/D6*100</f>
        <v>82.6569587350932</v>
      </c>
      <c r="F8" s="96">
        <f>D8/B8*100</f>
        <v>92.13710984449244</v>
      </c>
      <c r="G8" s="96">
        <f t="shared" si="0"/>
        <v>84.64472371055382</v>
      </c>
      <c r="H8" s="94">
        <f>B8-D8</f>
        <v>47423.299999999814</v>
      </c>
      <c r="I8" s="94">
        <f t="shared" si="1"/>
        <v>100809.59999999986</v>
      </c>
      <c r="J8" s="152"/>
      <c r="K8" s="153"/>
      <c r="L8" s="127"/>
    </row>
    <row r="9" spans="1:12" s="151" customFormat="1" ht="18">
      <c r="A9" s="92" t="s">
        <v>2</v>
      </c>
      <c r="B9" s="114">
        <v>97.7</v>
      </c>
      <c r="C9" s="115">
        <v>97.7</v>
      </c>
      <c r="D9" s="94">
        <f>3.4+5.4+0.8+4.1+3.6+0.3+0.3+3.4+3.4+3.6+2.1+4+2.9+3+2.4+1.4+2+0.9</f>
        <v>47</v>
      </c>
      <c r="E9" s="116">
        <f>D9/D6*100</f>
        <v>0.006990900673431972</v>
      </c>
      <c r="F9" s="96">
        <f>D9/B9*100</f>
        <v>48.106448311156605</v>
      </c>
      <c r="G9" s="96">
        <f t="shared" si="0"/>
        <v>48.106448311156605</v>
      </c>
      <c r="H9" s="94">
        <f aca="true" t="shared" si="2" ref="H9:H43">B9-D9</f>
        <v>50.7</v>
      </c>
      <c r="I9" s="94">
        <f t="shared" si="1"/>
        <v>50.7</v>
      </c>
      <c r="J9" s="152"/>
      <c r="K9" s="153"/>
      <c r="L9" s="127"/>
    </row>
    <row r="10" spans="1:12" s="151" customFormat="1" ht="18">
      <c r="A10" s="92" t="s">
        <v>1</v>
      </c>
      <c r="B10" s="114">
        <f>36216.9</f>
        <v>36216.9</v>
      </c>
      <c r="C10" s="115">
        <f>52816.3-8415.5-19.2-3934.8</f>
        <v>40446.8</v>
      </c>
      <c r="D10" s="13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</f>
        <v>29790</v>
      </c>
      <c r="E10" s="96">
        <f>D10/D6*100</f>
        <v>4.4310410864157115</v>
      </c>
      <c r="F10" s="96">
        <f aca="true" t="shared" si="3" ref="F10:F41">D10/B10*100</f>
        <v>82.25441713675107</v>
      </c>
      <c r="G10" s="96">
        <f t="shared" si="0"/>
        <v>73.65230376692345</v>
      </c>
      <c r="H10" s="94">
        <f t="shared" si="2"/>
        <v>6426.9000000000015</v>
      </c>
      <c r="I10" s="94">
        <f t="shared" si="1"/>
        <v>10656.800000000003</v>
      </c>
      <c r="J10" s="152"/>
      <c r="K10" s="153"/>
      <c r="L10" s="127"/>
    </row>
    <row r="11" spans="1:12" s="151" customFormat="1" ht="18">
      <c r="A11" s="92" t="s">
        <v>0</v>
      </c>
      <c r="B11" s="114">
        <f>61296.9+809.8+12951</f>
        <v>75057.70000000001</v>
      </c>
      <c r="C11" s="115">
        <v>88172.4</v>
      </c>
      <c r="D11" s="13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</f>
        <v>59538.7</v>
      </c>
      <c r="E11" s="96">
        <f>D11/D6*100</f>
        <v>8.855939104792853</v>
      </c>
      <c r="F11" s="96">
        <f t="shared" si="3"/>
        <v>79.32390680769593</v>
      </c>
      <c r="G11" s="96">
        <f t="shared" si="0"/>
        <v>67.52532538526795</v>
      </c>
      <c r="H11" s="94">
        <f t="shared" si="2"/>
        <v>15519.000000000015</v>
      </c>
      <c r="I11" s="94">
        <f t="shared" si="1"/>
        <v>28633.699999999997</v>
      </c>
      <c r="J11" s="152"/>
      <c r="K11" s="153"/>
      <c r="L11" s="127"/>
    </row>
    <row r="12" spans="1:12" s="151" customFormat="1" ht="18">
      <c r="A12" s="92" t="s">
        <v>14</v>
      </c>
      <c r="B12" s="114">
        <v>11603.9</v>
      </c>
      <c r="C12" s="115">
        <v>12738</v>
      </c>
      <c r="D12" s="94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</f>
        <v>10190.599999999997</v>
      </c>
      <c r="E12" s="96">
        <f>D12/D6*100</f>
        <v>1.5157760085675709</v>
      </c>
      <c r="F12" s="96">
        <f t="shared" si="3"/>
        <v>87.820474150932</v>
      </c>
      <c r="G12" s="96">
        <f t="shared" si="0"/>
        <v>80.00157010519702</v>
      </c>
      <c r="H12" s="94">
        <f>B12-D12</f>
        <v>1413.300000000003</v>
      </c>
      <c r="I12" s="94">
        <f t="shared" si="1"/>
        <v>2547.4000000000033</v>
      </c>
      <c r="J12" s="152"/>
      <c r="K12" s="153"/>
      <c r="L12" s="127"/>
    </row>
    <row r="13" spans="1:12" s="151" customFormat="1" ht="18.75" thickBot="1">
      <c r="A13" s="92" t="s">
        <v>27</v>
      </c>
      <c r="B13" s="115">
        <f>B6-B8-B9-B10-B11-B12</f>
        <v>27526.600000000028</v>
      </c>
      <c r="C13" s="115">
        <f>C6-C8-C9-C10-C11-C12</f>
        <v>29150.299999999945</v>
      </c>
      <c r="D13" s="115">
        <f>D6-D8-D9-D10-D11-D12</f>
        <v>17031.400000000074</v>
      </c>
      <c r="E13" s="96">
        <f>D13/D6*100</f>
        <v>2.5332941644572298</v>
      </c>
      <c r="F13" s="96">
        <f t="shared" si="3"/>
        <v>61.872516039031545</v>
      </c>
      <c r="G13" s="96">
        <f t="shared" si="0"/>
        <v>58.426156849158005</v>
      </c>
      <c r="H13" s="94">
        <f t="shared" si="2"/>
        <v>10495.199999999953</v>
      </c>
      <c r="I13" s="94">
        <f t="shared" si="1"/>
        <v>12118.89999999987</v>
      </c>
      <c r="J13" s="152"/>
      <c r="K13" s="153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7"/>
      <c r="K14" s="137"/>
      <c r="L14" s="137"/>
      <c r="M14" s="137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7"/>
      <c r="K15" s="137"/>
      <c r="L15" s="137"/>
      <c r="M15" s="137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7"/>
      <c r="K16" s="137"/>
      <c r="L16" s="137"/>
      <c r="M16" s="137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7"/>
      <c r="K17" s="137"/>
      <c r="L17" s="137"/>
      <c r="M17" s="137"/>
    </row>
    <row r="18" spans="1:11" ht="18.75" thickBot="1">
      <c r="A18" s="18" t="s">
        <v>19</v>
      </c>
      <c r="B18" s="35">
        <f>333159.1-2662.4+17838.6+15694.7-1079.1</f>
        <v>362950.89999999997</v>
      </c>
      <c r="C18" s="36">
        <f>424151.5+750.3+185.6-18990.5</f>
        <v>406096.89999999997</v>
      </c>
      <c r="D18" s="37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+1348.9+338.7+225.4+7510.8+138.8+1602.7+1383.3+73.5+2.1+2.3+1540.5+297.2+569.2+74.9+38.4+2+6.5+14053+2584.5+1384.9+785.4+172.6+66.5+31.3+139.6-39.9+146.9+1765.2+3003.7+332.1+9166.5</f>
        <v>335476.6000000001</v>
      </c>
      <c r="E18" s="3">
        <f>D18/D154*100</f>
        <v>19.300837507658308</v>
      </c>
      <c r="F18" s="3">
        <f>D18/B18*100</f>
        <v>92.43029842328538</v>
      </c>
      <c r="G18" s="3">
        <f t="shared" si="0"/>
        <v>82.60998791175213</v>
      </c>
      <c r="H18" s="37">
        <f>B18-D18</f>
        <v>27474.299999999872</v>
      </c>
      <c r="I18" s="37">
        <f t="shared" si="1"/>
        <v>70620.29999999987</v>
      </c>
      <c r="J18" s="152"/>
      <c r="K18" s="153"/>
    </row>
    <row r="19" spans="1:13" s="85" customFormat="1" ht="18.75">
      <c r="A19" s="128" t="s">
        <v>82</v>
      </c>
      <c r="B19" s="129">
        <f>196322.2+15694.8</f>
        <v>212017</v>
      </c>
      <c r="C19" s="130">
        <f>226186+750.3+185.6+589.9</f>
        <v>227711.8</v>
      </c>
      <c r="D19" s="13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</f>
        <v>206611.5</v>
      </c>
      <c r="E19" s="132">
        <f>D19/D18*100</f>
        <v>61.58745498195699</v>
      </c>
      <c r="F19" s="132">
        <f t="shared" si="3"/>
        <v>97.45044029488201</v>
      </c>
      <c r="G19" s="132">
        <f t="shared" si="0"/>
        <v>90.73376961580384</v>
      </c>
      <c r="H19" s="131">
        <f t="shared" si="2"/>
        <v>5405.5</v>
      </c>
      <c r="I19" s="131">
        <f t="shared" si="1"/>
        <v>21100.29999999999</v>
      </c>
      <c r="J19" s="147"/>
      <c r="K19" s="153"/>
      <c r="L19" s="151"/>
      <c r="M19" s="151"/>
    </row>
    <row r="20" spans="1:11" s="151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2"/>
      <c r="K20" s="153">
        <f>C20-B20</f>
        <v>0</v>
      </c>
    </row>
    <row r="21" spans="1:11" s="151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2"/>
      <c r="K21" s="153">
        <f>C21-B21</f>
        <v>0</v>
      </c>
    </row>
    <row r="22" spans="1:11" s="151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2"/>
      <c r="K22" s="153">
        <f>C22-B22</f>
        <v>0</v>
      </c>
    </row>
    <row r="23" spans="1:11" s="151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2"/>
      <c r="K23" s="153">
        <f>C23-B23</f>
        <v>0</v>
      </c>
    </row>
    <row r="24" spans="1:11" s="151" customFormat="1" ht="18" hidden="1">
      <c r="A24" s="92" t="s">
        <v>14</v>
      </c>
      <c r="B24" s="114"/>
      <c r="C24" s="115"/>
      <c r="D24" s="94"/>
      <c r="E24" s="96">
        <f>D24/D18*100</f>
        <v>0</v>
      </c>
      <c r="F24" s="96" t="e">
        <f t="shared" si="3"/>
        <v>#DIV/0!</v>
      </c>
      <c r="G24" s="96" t="e">
        <f t="shared" si="0"/>
        <v>#DIV/0!</v>
      </c>
      <c r="H24" s="94">
        <f t="shared" si="2"/>
        <v>0</v>
      </c>
      <c r="I24" s="94">
        <f t="shared" si="1"/>
        <v>0</v>
      </c>
      <c r="J24" s="152"/>
      <c r="K24" s="153">
        <f>C24-B24</f>
        <v>0</v>
      </c>
    </row>
    <row r="25" spans="1:11" s="151" customFormat="1" ht="18.75" thickBot="1">
      <c r="A25" s="92" t="s">
        <v>27</v>
      </c>
      <c r="B25" s="115">
        <f>B18</f>
        <v>362950.89999999997</v>
      </c>
      <c r="C25" s="115">
        <f>C18</f>
        <v>406096.89999999997</v>
      </c>
      <c r="D25" s="115">
        <f>D18</f>
        <v>335476.6000000001</v>
      </c>
      <c r="E25" s="96">
        <f>D25/D18*100</f>
        <v>100</v>
      </c>
      <c r="F25" s="96">
        <f t="shared" si="3"/>
        <v>92.43029842328538</v>
      </c>
      <c r="G25" s="96">
        <f t="shared" si="0"/>
        <v>82.60998791175213</v>
      </c>
      <c r="H25" s="94">
        <f t="shared" si="2"/>
        <v>27474.299999999872</v>
      </c>
      <c r="I25" s="94">
        <f t="shared" si="1"/>
        <v>70620.29999999987</v>
      </c>
      <c r="J25" s="152"/>
      <c r="K25" s="153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2"/>
      <c r="K26" s="153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2"/>
      <c r="K27" s="153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2"/>
      <c r="K28" s="153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2"/>
      <c r="K29" s="153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2"/>
      <c r="K30" s="153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2"/>
      <c r="K31" s="153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2"/>
      <c r="K32" s="153">
        <f t="shared" si="4"/>
        <v>0</v>
      </c>
    </row>
    <row r="33" spans="1:11" ht="18.75" thickBot="1">
      <c r="A33" s="18" t="s">
        <v>17</v>
      </c>
      <c r="B33" s="35">
        <f>20177.6+27.7+2+2155.9</f>
        <v>22363.2</v>
      </c>
      <c r="C33" s="36">
        <f>24805.1-17.2+81.6</f>
        <v>24869.499999999996</v>
      </c>
      <c r="D33" s="39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</f>
        <v>20185.500000000007</v>
      </c>
      <c r="E33" s="3">
        <f>D33/D154*100</f>
        <v>1.1613240849312196</v>
      </c>
      <c r="F33" s="3">
        <f>D33/B33*100</f>
        <v>90.26212706589399</v>
      </c>
      <c r="G33" s="3">
        <f t="shared" si="0"/>
        <v>81.16568487504779</v>
      </c>
      <c r="H33" s="37">
        <f t="shared" si="2"/>
        <v>2177.6999999999935</v>
      </c>
      <c r="I33" s="37">
        <f t="shared" si="1"/>
        <v>4683.999999999989</v>
      </c>
      <c r="J33" s="152"/>
      <c r="K33" s="153"/>
    </row>
    <row r="34" spans="1:11" s="151" customFormat="1" ht="18">
      <c r="A34" s="92" t="s">
        <v>3</v>
      </c>
      <c r="B34" s="114">
        <f>10871.7+993.6</f>
        <v>11865.300000000001</v>
      </c>
      <c r="C34" s="115">
        <f>12906.6+40</f>
        <v>12946.6</v>
      </c>
      <c r="D34" s="94">
        <f>364.6+548.1+389.3+522.2+63+395+556.7+63+391.3+512.8+63+394.6+664.3+89.8+0.3+456.7+632.3+12+89.8+485+19+3.6+623.1+89.8+9.9+419.4+475.8+71.8+336.5+18.5+2.5+155.1+372.7+96+254.3+89.8+21.2+809.4+383.8</f>
        <v>10946</v>
      </c>
      <c r="E34" s="96">
        <f>D34/D33*100</f>
        <v>54.22704416536621</v>
      </c>
      <c r="F34" s="96">
        <f t="shared" si="3"/>
        <v>92.25219758455326</v>
      </c>
      <c r="G34" s="96">
        <f t="shared" si="0"/>
        <v>84.54729427031035</v>
      </c>
      <c r="H34" s="94">
        <f t="shared" si="2"/>
        <v>919.3000000000011</v>
      </c>
      <c r="I34" s="94">
        <f t="shared" si="1"/>
        <v>2000.6000000000004</v>
      </c>
      <c r="J34" s="152"/>
      <c r="K34" s="153"/>
    </row>
    <row r="35" spans="1:11" s="151" customFormat="1" ht="18">
      <c r="A35" s="92" t="s">
        <v>1</v>
      </c>
      <c r="B35" s="114">
        <v>59.6</v>
      </c>
      <c r="C35" s="115">
        <v>81.1</v>
      </c>
      <c r="D35" s="94">
        <f>6.8+8.7+11.6+32.5</f>
        <v>59.6</v>
      </c>
      <c r="E35" s="96">
        <f>D35/D33*100</f>
        <v>0.2952614500507789</v>
      </c>
      <c r="F35" s="96">
        <f t="shared" si="3"/>
        <v>100</v>
      </c>
      <c r="G35" s="96">
        <f t="shared" si="0"/>
        <v>73.48951911220716</v>
      </c>
      <c r="H35" s="94">
        <f t="shared" si="2"/>
        <v>0</v>
      </c>
      <c r="I35" s="94">
        <f t="shared" si="1"/>
        <v>21.499999999999993</v>
      </c>
      <c r="J35" s="152"/>
      <c r="K35" s="153"/>
    </row>
    <row r="36" spans="1:11" s="151" customFormat="1" ht="18">
      <c r="A36" s="92" t="s">
        <v>0</v>
      </c>
      <c r="B36" s="114">
        <f>1155.9+27.7+291.6</f>
        <v>1475.2000000000003</v>
      </c>
      <c r="C36" s="115">
        <v>1783</v>
      </c>
      <c r="D36" s="94">
        <f>0.3+11.3+141.7+12.6+0.9+12.9+1.3+0.5+169.4+1.1+0.1+0.4+11.3+166.1+3.8+5.1+2.9+0.2+0.5+11.9+319.9+44.3+12.2+0.9-0.2+8.4+29.5+8.6+0.2+7.6+0.4+4.3+0.1+0.3+7.8+4.8+0.2+5.5+2.5+0.2+2.6+6.1+6.3+1.5+8</f>
        <v>1036.3</v>
      </c>
      <c r="E36" s="96">
        <f>D36/D33*100</f>
        <v>5.133883233013795</v>
      </c>
      <c r="F36" s="96">
        <f t="shared" si="3"/>
        <v>70.24810195227764</v>
      </c>
      <c r="G36" s="96">
        <f t="shared" si="0"/>
        <v>58.12114413909142</v>
      </c>
      <c r="H36" s="94">
        <f t="shared" si="2"/>
        <v>438.9000000000003</v>
      </c>
      <c r="I36" s="94">
        <f t="shared" si="1"/>
        <v>746.7</v>
      </c>
      <c r="J36" s="152"/>
      <c r="K36" s="153"/>
    </row>
    <row r="37" spans="1:12" s="85" customFormat="1" ht="18.75">
      <c r="A37" s="105" t="s">
        <v>7</v>
      </c>
      <c r="B37" s="125">
        <f>766.6+2+20.5</f>
        <v>789.1</v>
      </c>
      <c r="C37" s="126">
        <v>1008</v>
      </c>
      <c r="D37" s="98">
        <f>44.8+25.1+1.6+0.5+2.7+1+6.3+8.5+2.5+36.6+1.5+4.5+23.6+4.1+106.1+32.6+9.7+2.5+4.3+1.9+2.2+5.9+0.2+124.8+6.7+179.9+41.5+2.4+6.3+14.7+42.8+20.1+5</f>
        <v>772.8999999999999</v>
      </c>
      <c r="E37" s="101">
        <f>D37/D33*100</f>
        <v>3.828986153426963</v>
      </c>
      <c r="F37" s="101">
        <f t="shared" si="3"/>
        <v>97.94702826004307</v>
      </c>
      <c r="G37" s="101">
        <f t="shared" si="0"/>
        <v>76.67658730158729</v>
      </c>
      <c r="H37" s="98">
        <f t="shared" si="2"/>
        <v>16.20000000000016</v>
      </c>
      <c r="I37" s="98">
        <f t="shared" si="1"/>
        <v>235.10000000000014</v>
      </c>
      <c r="J37" s="147"/>
      <c r="K37" s="153"/>
      <c r="L37" s="127"/>
    </row>
    <row r="38" spans="1:11" s="151" customFormat="1" ht="18">
      <c r="A38" s="92" t="s">
        <v>14</v>
      </c>
      <c r="B38" s="114">
        <f>39.3+45.1</f>
        <v>84.4</v>
      </c>
      <c r="C38" s="115">
        <f>80.8+8.7</f>
        <v>89.5</v>
      </c>
      <c r="D38" s="115">
        <f>5.1+5.1+5.1+5.1+5.1+8.7+5.1</f>
        <v>39.300000000000004</v>
      </c>
      <c r="E38" s="96">
        <f>D38/D33*100</f>
        <v>0.19469421119120156</v>
      </c>
      <c r="F38" s="96">
        <f t="shared" si="3"/>
        <v>46.56398104265403</v>
      </c>
      <c r="G38" s="96">
        <f t="shared" si="0"/>
        <v>43.91061452513967</v>
      </c>
      <c r="H38" s="94">
        <f t="shared" si="2"/>
        <v>45.1</v>
      </c>
      <c r="I38" s="94">
        <f t="shared" si="1"/>
        <v>50.199999999999996</v>
      </c>
      <c r="J38" s="152"/>
      <c r="K38" s="153"/>
    </row>
    <row r="39" spans="1:11" s="151" customFormat="1" ht="18.75" thickBot="1">
      <c r="A39" s="92" t="s">
        <v>27</v>
      </c>
      <c r="B39" s="114">
        <f>B33-B34-B36-B37-B35-B38</f>
        <v>8089.5999999999985</v>
      </c>
      <c r="C39" s="114">
        <f>C33-C34-C36-C37-C35-C38</f>
        <v>8961.299999999996</v>
      </c>
      <c r="D39" s="114">
        <f>D33-D34-D36-D37-D35-D38</f>
        <v>7331.400000000008</v>
      </c>
      <c r="E39" s="96">
        <f>D39/D33*100</f>
        <v>36.320130786951054</v>
      </c>
      <c r="F39" s="96">
        <f t="shared" si="3"/>
        <v>90.6274723101267</v>
      </c>
      <c r="G39" s="96">
        <f t="shared" si="0"/>
        <v>81.81179070001016</v>
      </c>
      <c r="H39" s="94">
        <f>B39-D39</f>
        <v>758.1999999999907</v>
      </c>
      <c r="I39" s="94">
        <f t="shared" si="1"/>
        <v>1629.8999999999878</v>
      </c>
      <c r="J39" s="152"/>
      <c r="K39" s="153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2"/>
      <c r="K40" s="153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2"/>
      <c r="K41" s="153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2"/>
      <c r="K42" s="153">
        <f>C42-B42</f>
        <v>0</v>
      </c>
    </row>
    <row r="43" spans="1:11" ht="19.5" thickBot="1">
      <c r="A43" s="11" t="s">
        <v>16</v>
      </c>
      <c r="B43" s="72">
        <f>1293.5-2+236</f>
        <v>1527.5</v>
      </c>
      <c r="C43" s="36">
        <f>1126.9+467</f>
        <v>1593.9</v>
      </c>
      <c r="D43" s="37">
        <f>63.9+1.1+0.6+70.8+0.5+48+6.7+2+13.7+10.4+20.2+0.7+37.4+27+181.7+0.2+2.1+7.5+10+0.2+3.3+24.2+12.6+1.5+22+2.4+8+14.4+3.9+1.2+1.7+0.1+3+13.7+46.4+0.8</f>
        <v>663.9</v>
      </c>
      <c r="E43" s="3">
        <f>D43/D154*100</f>
        <v>0.03819588615520232</v>
      </c>
      <c r="F43" s="3">
        <f>D43/B43*100</f>
        <v>43.46317512274959</v>
      </c>
      <c r="G43" s="3">
        <f t="shared" si="0"/>
        <v>41.65255034820252</v>
      </c>
      <c r="H43" s="37">
        <f t="shared" si="2"/>
        <v>863.6</v>
      </c>
      <c r="I43" s="37">
        <f t="shared" si="1"/>
        <v>930.0000000000001</v>
      </c>
      <c r="J43" s="152"/>
      <c r="K43" s="153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2"/>
      <c r="K44" s="153"/>
    </row>
    <row r="45" spans="1:11" ht="18.75" thickBot="1">
      <c r="A45" s="18" t="s">
        <v>44</v>
      </c>
      <c r="B45" s="35">
        <f>11184.4+1142.2</f>
        <v>12326.6</v>
      </c>
      <c r="C45" s="36">
        <v>13576.3</v>
      </c>
      <c r="D45" s="37">
        <f>237.1+562.8+52.3+349.2+679.9+375.9+891+78.3+327.4+13.5+670.2+386.5+179.9+781.7-0.1+25.5+366.5+16.5+692.2+3.8+389.3+707.6+15.1+379.9+4.5+611.9+360.8+661.9+337.6+11.6+789.6+30.4+326.3</f>
        <v>11316.599999999999</v>
      </c>
      <c r="E45" s="3">
        <f>D45/D154*100</f>
        <v>0.6510733020996574</v>
      </c>
      <c r="F45" s="3">
        <f>D45/B45*100</f>
        <v>91.80633751399411</v>
      </c>
      <c r="G45" s="3">
        <f aca="true" t="shared" si="5" ref="G45:G76">D45/C45*100</f>
        <v>83.35555342766438</v>
      </c>
      <c r="H45" s="37">
        <f>B45-D45</f>
        <v>1010.0000000000018</v>
      </c>
      <c r="I45" s="37">
        <f aca="true" t="shared" si="6" ref="I45:I77">C45-D45</f>
        <v>2259.7000000000007</v>
      </c>
      <c r="J45" s="152"/>
      <c r="K45" s="153"/>
    </row>
    <row r="46" spans="1:11" s="151" customFormat="1" ht="18">
      <c r="A46" s="92" t="s">
        <v>3</v>
      </c>
      <c r="B46" s="114">
        <f>10237.8+1011.8</f>
        <v>11249.599999999999</v>
      </c>
      <c r="C46" s="115">
        <v>12256.4</v>
      </c>
      <c r="D46" s="94">
        <f>237.1+551.8+334.1+652.5+314.7+746.1+319.2+661.7+342.8+781.7+0.2-0.1+366.5+692.2+367.7+697.1+14.1+359.1+599.6+318.9+654.8+315+778.2+5.2+0.1+303.9</f>
        <v>10414.2</v>
      </c>
      <c r="E46" s="96">
        <f>D46/D45*100</f>
        <v>92.0258734955729</v>
      </c>
      <c r="F46" s="96">
        <f aca="true" t="shared" si="7" ref="F46:F74">D46/B46*100</f>
        <v>92.57395818517993</v>
      </c>
      <c r="G46" s="96">
        <f t="shared" si="5"/>
        <v>84.96948533011326</v>
      </c>
      <c r="H46" s="94">
        <f aca="true" t="shared" si="8" ref="H46:H74">B46-D46</f>
        <v>835.3999999999978</v>
      </c>
      <c r="I46" s="94">
        <f t="shared" si="6"/>
        <v>1842.199999999999</v>
      </c>
      <c r="J46" s="152"/>
      <c r="K46" s="153"/>
    </row>
    <row r="47" spans="1:11" s="151" customFormat="1" ht="18">
      <c r="A47" s="92" t="s">
        <v>2</v>
      </c>
      <c r="B47" s="114">
        <f>0.8+0.7</f>
        <v>1.5</v>
      </c>
      <c r="C47" s="115">
        <v>1.5</v>
      </c>
      <c r="D47" s="94">
        <f>0.7</f>
        <v>0.7</v>
      </c>
      <c r="E47" s="96">
        <f>D47/D45*100</f>
        <v>0.00618560344979941</v>
      </c>
      <c r="F47" s="96">
        <f t="shared" si="7"/>
        <v>46.666666666666664</v>
      </c>
      <c r="G47" s="96">
        <f t="shared" si="5"/>
        <v>46.666666666666664</v>
      </c>
      <c r="H47" s="94">
        <f t="shared" si="8"/>
        <v>0.8</v>
      </c>
      <c r="I47" s="94">
        <f t="shared" si="6"/>
        <v>0.8</v>
      </c>
      <c r="J47" s="152"/>
      <c r="K47" s="153"/>
    </row>
    <row r="48" spans="1:11" s="151" customFormat="1" ht="18">
      <c r="A48" s="92" t="s">
        <v>1</v>
      </c>
      <c r="B48" s="114">
        <f>68.2+10.5</f>
        <v>78.7</v>
      </c>
      <c r="C48" s="115">
        <v>98.9</v>
      </c>
      <c r="D48" s="94">
        <f>5.7+6.1+6.5+7.7+8.4+7+0.1+8.9+9.6</f>
        <v>60</v>
      </c>
      <c r="E48" s="96">
        <f>D48/D45*100</f>
        <v>0.5301945814113781</v>
      </c>
      <c r="F48" s="96">
        <f t="shared" si="7"/>
        <v>76.23888182973316</v>
      </c>
      <c r="G48" s="96">
        <f t="shared" si="5"/>
        <v>60.66734074823054</v>
      </c>
      <c r="H48" s="94">
        <f t="shared" si="8"/>
        <v>18.700000000000003</v>
      </c>
      <c r="I48" s="94">
        <f t="shared" si="6"/>
        <v>38.900000000000006</v>
      </c>
      <c r="J48" s="152"/>
      <c r="K48" s="153"/>
    </row>
    <row r="49" spans="1:11" s="151" customFormat="1" ht="18">
      <c r="A49" s="92" t="s">
        <v>0</v>
      </c>
      <c r="B49" s="114">
        <f>595+89.5</f>
        <v>684.5</v>
      </c>
      <c r="C49" s="115">
        <v>879.8</v>
      </c>
      <c r="D49" s="94">
        <f>7.3+51.9+12.7-0.1+54.5+131.2+49.5+2.4+7.9+11.2+178.3+0.4+4.1+0.1+0.6+1.4+0.5+0.8+4.5+4.5+1+5+1.4+9.1+16+0.1</f>
        <v>556.3</v>
      </c>
      <c r="E49" s="96">
        <f>D49/D45*100</f>
        <v>4.9157874273191595</v>
      </c>
      <c r="F49" s="96">
        <f t="shared" si="7"/>
        <v>81.27100073046019</v>
      </c>
      <c r="G49" s="96">
        <f t="shared" si="5"/>
        <v>63.23027960900205</v>
      </c>
      <c r="H49" s="94">
        <f t="shared" si="8"/>
        <v>128.20000000000005</v>
      </c>
      <c r="I49" s="94">
        <f t="shared" si="6"/>
        <v>323.5</v>
      </c>
      <c r="J49" s="152"/>
      <c r="K49" s="153"/>
    </row>
    <row r="50" spans="1:11" s="151" customFormat="1" ht="18.75" thickBot="1">
      <c r="A50" s="92" t="s">
        <v>27</v>
      </c>
      <c r="B50" s="115">
        <f>B45-B46-B49-B48-B47</f>
        <v>312.30000000000183</v>
      </c>
      <c r="C50" s="115">
        <f>C45-C46-C49-C48-C47</f>
        <v>339.6999999999997</v>
      </c>
      <c r="D50" s="115">
        <f>D45-D46-D49-D48-D47</f>
        <v>285.3999999999979</v>
      </c>
      <c r="E50" s="96">
        <f>D50/D45*100</f>
        <v>2.5219588922467695</v>
      </c>
      <c r="F50" s="96">
        <f t="shared" si="7"/>
        <v>91.386487351904</v>
      </c>
      <c r="G50" s="96">
        <f t="shared" si="5"/>
        <v>84.01530762437389</v>
      </c>
      <c r="H50" s="94">
        <f t="shared" si="8"/>
        <v>26.900000000003956</v>
      </c>
      <c r="I50" s="94">
        <f t="shared" si="6"/>
        <v>54.30000000000183</v>
      </c>
      <c r="J50" s="152"/>
      <c r="K50" s="153"/>
    </row>
    <row r="51" spans="1:11" ht="18.75" thickBot="1">
      <c r="A51" s="18" t="s">
        <v>4</v>
      </c>
      <c r="B51" s="35">
        <f>30742.3+124.3+3465</f>
        <v>34331.6</v>
      </c>
      <c r="C51" s="36">
        <f>37135.4+450-426+576.2</f>
        <v>37735.6</v>
      </c>
      <c r="D51" s="37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</f>
        <v>27345.799999999996</v>
      </c>
      <c r="E51" s="3">
        <f>D51/D154*100</f>
        <v>1.573274685378719</v>
      </c>
      <c r="F51" s="3">
        <f>D51/B51*100</f>
        <v>79.65198243018094</v>
      </c>
      <c r="G51" s="3">
        <f t="shared" si="5"/>
        <v>72.46684828119865</v>
      </c>
      <c r="H51" s="37">
        <f>B51-D51</f>
        <v>6985.800000000003</v>
      </c>
      <c r="I51" s="37">
        <f t="shared" si="6"/>
        <v>10389.800000000003</v>
      </c>
      <c r="J51" s="152"/>
      <c r="K51" s="153"/>
    </row>
    <row r="52" spans="1:11" s="151" customFormat="1" ht="18">
      <c r="A52" s="92" t="s">
        <v>3</v>
      </c>
      <c r="B52" s="114">
        <f>16585.9+1913.6</f>
        <v>18499.5</v>
      </c>
      <c r="C52" s="115">
        <f>20097.4+92.2</f>
        <v>20189.600000000002</v>
      </c>
      <c r="D52" s="94">
        <f>632.9+34.3+767.3+737.6+710.6+649.6+792.4+1.6+643.1+825.6+650.1+947+1196.1+785.4+658.1+439+623.6+358.8+550.5+716.3+1140.3+694.7+845.6+818.5</f>
        <v>16219</v>
      </c>
      <c r="E52" s="96">
        <f>D52/D51*100</f>
        <v>59.310753388088855</v>
      </c>
      <c r="F52" s="96">
        <f t="shared" si="7"/>
        <v>87.6726398010757</v>
      </c>
      <c r="G52" s="96">
        <f t="shared" si="5"/>
        <v>80.33343899829615</v>
      </c>
      <c r="H52" s="94">
        <f t="shared" si="8"/>
        <v>2280.5</v>
      </c>
      <c r="I52" s="94">
        <f t="shared" si="6"/>
        <v>3970.600000000002</v>
      </c>
      <c r="J52" s="152"/>
      <c r="K52" s="153"/>
    </row>
    <row r="53" spans="1:11" s="151" customFormat="1" ht="18">
      <c r="A53" s="92" t="s">
        <v>2</v>
      </c>
      <c r="B53" s="114">
        <v>15.3</v>
      </c>
      <c r="C53" s="115">
        <f>13.9+1.38435</f>
        <v>15.28435</v>
      </c>
      <c r="D53" s="94">
        <f>1+1.7</f>
        <v>2.7</v>
      </c>
      <c r="E53" s="96">
        <f>D53/D51*100</f>
        <v>0.009873545480475981</v>
      </c>
      <c r="F53" s="96">
        <f>D53/B53*100</f>
        <v>17.647058823529413</v>
      </c>
      <c r="G53" s="96">
        <f t="shared" si="5"/>
        <v>17.665128055821803</v>
      </c>
      <c r="H53" s="94">
        <f t="shared" si="8"/>
        <v>12.600000000000001</v>
      </c>
      <c r="I53" s="94">
        <f t="shared" si="6"/>
        <v>12.58435</v>
      </c>
      <c r="J53" s="152"/>
      <c r="K53" s="153"/>
    </row>
    <row r="54" spans="1:11" s="151" customFormat="1" ht="18">
      <c r="A54" s="92" t="s">
        <v>1</v>
      </c>
      <c r="B54" s="114">
        <f>869.1+155.2</f>
        <v>1024.3</v>
      </c>
      <c r="C54" s="115">
        <f>993.6+100</f>
        <v>1093.6</v>
      </c>
      <c r="D54" s="94">
        <f>0.2+4.2+9+4.7+9.6+6.3+43.2+2.7+18.4+3.8+23.8+5.3+12.2+43.2+26.7+3.8+22.4+0.4+59.7+30.3+3.3+19.2+7+2.9+21+4.4-0.4+4.8+2.2+3.6+32.5+6.4+7.8+23.5+0.7+4.2+10.2+2.2+1.8+2+15.6+1.8+2.2+4.1+5.9+16.2+64.8+35.5+24.1+15+22.2+8.7+11.7+6.3+2.8+26.7+2.5</f>
        <v>755.3000000000001</v>
      </c>
      <c r="E54" s="96">
        <f>D54/D51*100</f>
        <v>2.7620329264457437</v>
      </c>
      <c r="F54" s="96">
        <f t="shared" si="7"/>
        <v>73.73816264766184</v>
      </c>
      <c r="G54" s="96">
        <f t="shared" si="5"/>
        <v>69.06547183613753</v>
      </c>
      <c r="H54" s="94">
        <f t="shared" si="8"/>
        <v>268.9999999999999</v>
      </c>
      <c r="I54" s="94">
        <f t="shared" si="6"/>
        <v>338.29999999999984</v>
      </c>
      <c r="J54" s="152"/>
      <c r="K54" s="153"/>
    </row>
    <row r="55" spans="1:11" s="151" customFormat="1" ht="18">
      <c r="A55" s="92" t="s">
        <v>0</v>
      </c>
      <c r="B55" s="114">
        <f>824+106.3+185.9</f>
        <v>1116.2</v>
      </c>
      <c r="C55" s="115">
        <v>1219.9</v>
      </c>
      <c r="D55" s="94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</f>
        <v>583</v>
      </c>
      <c r="E55" s="96">
        <f>D55/D51*100</f>
        <v>2.131954450043517</v>
      </c>
      <c r="F55" s="96">
        <f t="shared" si="7"/>
        <v>52.23078301379681</v>
      </c>
      <c r="G55" s="96">
        <f t="shared" si="5"/>
        <v>47.79080252479711</v>
      </c>
      <c r="H55" s="94">
        <f t="shared" si="8"/>
        <v>533.2</v>
      </c>
      <c r="I55" s="94">
        <f t="shared" si="6"/>
        <v>636.9000000000001</v>
      </c>
      <c r="J55" s="152"/>
      <c r="K55" s="153"/>
    </row>
    <row r="56" spans="1:11" s="151" customFormat="1" ht="18">
      <c r="A56" s="92" t="s">
        <v>14</v>
      </c>
      <c r="B56" s="114">
        <f>1100+110</f>
        <v>1210</v>
      </c>
      <c r="C56" s="115">
        <v>1320</v>
      </c>
      <c r="D56" s="115">
        <f>110+110+110+110+110+110+110+110+110+106</f>
        <v>1096</v>
      </c>
      <c r="E56" s="96">
        <f>D56/D51*100</f>
        <v>4.0079280913339534</v>
      </c>
      <c r="F56" s="96">
        <f>D56/B56*100</f>
        <v>90.57851239669421</v>
      </c>
      <c r="G56" s="96">
        <f>D56/C56*100</f>
        <v>83.03030303030303</v>
      </c>
      <c r="H56" s="94">
        <f t="shared" si="8"/>
        <v>114</v>
      </c>
      <c r="I56" s="94">
        <f t="shared" si="6"/>
        <v>224</v>
      </c>
      <c r="J56" s="152"/>
      <c r="K56" s="153"/>
    </row>
    <row r="57" spans="1:11" s="151" customFormat="1" ht="18.75" thickBot="1">
      <c r="A57" s="92" t="s">
        <v>27</v>
      </c>
      <c r="B57" s="115">
        <f>B51-B52-B55-B54-B53-B56</f>
        <v>12466.3</v>
      </c>
      <c r="C57" s="115">
        <f>C51-C52-C55-C54-C53-C56</f>
        <v>13897.215649999996</v>
      </c>
      <c r="D57" s="115">
        <f>D51-D52-D55-D54-D53-D56</f>
        <v>8689.799999999996</v>
      </c>
      <c r="E57" s="96">
        <f>D57/D51*100</f>
        <v>31.777457598607455</v>
      </c>
      <c r="F57" s="96">
        <f t="shared" si="7"/>
        <v>69.7063282609916</v>
      </c>
      <c r="G57" s="96">
        <f t="shared" si="5"/>
        <v>62.52907214546964</v>
      </c>
      <c r="H57" s="94">
        <f>B57-D57</f>
        <v>3776.5000000000036</v>
      </c>
      <c r="I57" s="94">
        <f>C57-D57</f>
        <v>5207.415650000001</v>
      </c>
      <c r="J57" s="152"/>
      <c r="K57" s="153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7"/>
      <c r="K58" s="153">
        <f>C58-B58</f>
        <v>0</v>
      </c>
    </row>
    <row r="59" spans="1:11" ht="18.75" thickBot="1">
      <c r="A59" s="18" t="s">
        <v>6</v>
      </c>
      <c r="B59" s="35">
        <f>8862+38.1+215.4+128.8</f>
        <v>9244.3</v>
      </c>
      <c r="C59" s="36">
        <f>9264.2+300+32.4</f>
        <v>9596.6</v>
      </c>
      <c r="D59" s="37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</f>
        <v>7484.4000000000015</v>
      </c>
      <c r="E59" s="3">
        <f>D59/D154*100</f>
        <v>0.4305969126976899</v>
      </c>
      <c r="F59" s="3">
        <f>D59/B59*100</f>
        <v>80.96232272860034</v>
      </c>
      <c r="G59" s="3">
        <f t="shared" si="5"/>
        <v>77.99012150136508</v>
      </c>
      <c r="H59" s="37">
        <f>B59-D59</f>
        <v>1759.8999999999978</v>
      </c>
      <c r="I59" s="37">
        <f t="shared" si="6"/>
        <v>2112.199999999999</v>
      </c>
      <c r="J59" s="152"/>
      <c r="K59" s="153"/>
    </row>
    <row r="60" spans="1:11" s="151" customFormat="1" ht="18">
      <c r="A60" s="92" t="s">
        <v>3</v>
      </c>
      <c r="B60" s="114">
        <f>2608.2+133+120.9</f>
        <v>2862.1</v>
      </c>
      <c r="C60" s="115">
        <v>3119.7</v>
      </c>
      <c r="D60" s="94">
        <f>77.7+79.1+76.9+40.5+47.3+155.9+45+29.2+85.8+95.3+38.3+30.7+89.8+79.1+80.7+178.9+50.9+35.4+119.2+73+83.9+167.9+42.3+43+65+68.5+34.6+47.8+164.9+73.8+172.5+81.2</f>
        <v>2554.1000000000004</v>
      </c>
      <c r="E60" s="96">
        <f>D60/D59*100</f>
        <v>34.1256480145369</v>
      </c>
      <c r="F60" s="96">
        <f t="shared" si="7"/>
        <v>89.23867090597814</v>
      </c>
      <c r="G60" s="96">
        <f t="shared" si="5"/>
        <v>81.87005160752638</v>
      </c>
      <c r="H60" s="94">
        <f t="shared" si="8"/>
        <v>307.99999999999955</v>
      </c>
      <c r="I60" s="94">
        <f t="shared" si="6"/>
        <v>565.5999999999995</v>
      </c>
      <c r="J60" s="152"/>
      <c r="K60" s="153"/>
    </row>
    <row r="61" spans="1:11" s="151" customFormat="1" ht="18">
      <c r="A61" s="92" t="s">
        <v>1</v>
      </c>
      <c r="B61" s="114">
        <v>393.1</v>
      </c>
      <c r="C61" s="115">
        <f>360.7+32.4</f>
        <v>393.09999999999997</v>
      </c>
      <c r="D61" s="94">
        <f>127+93.7+101.3+69.1</f>
        <v>391.1</v>
      </c>
      <c r="E61" s="96">
        <f>D61/D59*100</f>
        <v>5.225535781091336</v>
      </c>
      <c r="F61" s="96">
        <f>D61/B61*100</f>
        <v>99.49122360722463</v>
      </c>
      <c r="G61" s="96">
        <f t="shared" si="5"/>
        <v>99.49122360722464</v>
      </c>
      <c r="H61" s="94">
        <f t="shared" si="8"/>
        <v>2</v>
      </c>
      <c r="I61" s="94">
        <f t="shared" si="6"/>
        <v>1.9999999999999432</v>
      </c>
      <c r="J61" s="152"/>
      <c r="K61" s="153"/>
    </row>
    <row r="62" spans="1:11" s="151" customFormat="1" ht="18">
      <c r="A62" s="92" t="s">
        <v>0</v>
      </c>
      <c r="B62" s="114">
        <f>253.5+38.1+58.4+5.8</f>
        <v>355.8</v>
      </c>
      <c r="C62" s="115">
        <v>393.7</v>
      </c>
      <c r="D62" s="94">
        <f>10.9+43.2+13-3+39.2+5.7+50.2+3.5+0.2+29.7+2.5+1.8+22+0.1+0.7+2.1+0.1+0.1+2.2+0.1+0.1+2.1+1.2+0.5+0.1+0.6+16.3+0.1+1.9</f>
        <v>247.1999999999999</v>
      </c>
      <c r="E62" s="96">
        <f>D62/D59*100</f>
        <v>3.3028699695366344</v>
      </c>
      <c r="F62" s="96">
        <f t="shared" si="7"/>
        <v>69.47723440134904</v>
      </c>
      <c r="G62" s="96">
        <f t="shared" si="5"/>
        <v>62.78892557785113</v>
      </c>
      <c r="H62" s="94">
        <f t="shared" si="8"/>
        <v>108.60000000000011</v>
      </c>
      <c r="I62" s="94">
        <f t="shared" si="6"/>
        <v>146.50000000000009</v>
      </c>
      <c r="J62" s="152"/>
      <c r="K62" s="153"/>
    </row>
    <row r="63" spans="1:11" s="151" customFormat="1" ht="18">
      <c r="A63" s="92" t="s">
        <v>14</v>
      </c>
      <c r="B63" s="114">
        <v>4866.6</v>
      </c>
      <c r="C63" s="115">
        <v>4866.6</v>
      </c>
      <c r="D63" s="94">
        <f>136+283.5+578.4+584+1151+850.5</f>
        <v>3583.4</v>
      </c>
      <c r="E63" s="96">
        <f>D63/D59*100</f>
        <v>47.87825343380898</v>
      </c>
      <c r="F63" s="96">
        <f t="shared" si="7"/>
        <v>73.63251551391114</v>
      </c>
      <c r="G63" s="96">
        <f t="shared" si="5"/>
        <v>73.63251551391114</v>
      </c>
      <c r="H63" s="94">
        <f t="shared" si="8"/>
        <v>1283.2000000000003</v>
      </c>
      <c r="I63" s="94">
        <f t="shared" si="6"/>
        <v>1283.2000000000003</v>
      </c>
      <c r="J63" s="152"/>
      <c r="K63" s="153"/>
    </row>
    <row r="64" spans="1:11" s="151" customFormat="1" ht="18.75" thickBot="1">
      <c r="A64" s="92" t="s">
        <v>27</v>
      </c>
      <c r="B64" s="115">
        <f>B59-B60-B62-B63-B61</f>
        <v>766.6999999999983</v>
      </c>
      <c r="C64" s="115">
        <f>C59-C60-C62-C63-C61</f>
        <v>823.5000000000005</v>
      </c>
      <c r="D64" s="115">
        <f>D59-D60-D62-D63-D61</f>
        <v>708.6000000000012</v>
      </c>
      <c r="E64" s="96">
        <f>D64/D59*100</f>
        <v>9.467692801026148</v>
      </c>
      <c r="F64" s="96">
        <f t="shared" si="7"/>
        <v>92.42206860571315</v>
      </c>
      <c r="G64" s="96">
        <f t="shared" si="5"/>
        <v>86.04735883424416</v>
      </c>
      <c r="H64" s="94">
        <f t="shared" si="8"/>
        <v>58.09999999999718</v>
      </c>
      <c r="I64" s="94">
        <f t="shared" si="6"/>
        <v>114.8999999999993</v>
      </c>
      <c r="J64" s="152"/>
      <c r="K64" s="153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7"/>
      <c r="K65" s="153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7"/>
      <c r="K66" s="153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7"/>
      <c r="K67" s="153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7"/>
      <c r="K68" s="153">
        <f>C68-B68</f>
        <v>0</v>
      </c>
    </row>
    <row r="69" spans="1:11" ht="18.75" thickBot="1">
      <c r="A69" s="18" t="s">
        <v>20</v>
      </c>
      <c r="B69" s="36">
        <f>B70+B71</f>
        <v>417.363</v>
      </c>
      <c r="C69" s="36">
        <f>C70+C71</f>
        <v>418</v>
      </c>
      <c r="D69" s="37">
        <f>D70+D71</f>
        <v>227</v>
      </c>
      <c r="E69" s="27">
        <f>D69/D154*100</f>
        <v>0.013059897811765217</v>
      </c>
      <c r="F69" s="3">
        <f>D69/B69*100</f>
        <v>54.38910492784459</v>
      </c>
      <c r="G69" s="3">
        <f t="shared" si="5"/>
        <v>54.30622009569378</v>
      </c>
      <c r="H69" s="37">
        <f>B69-D69</f>
        <v>190.363</v>
      </c>
      <c r="I69" s="37">
        <f t="shared" si="6"/>
        <v>191</v>
      </c>
      <c r="J69" s="152"/>
      <c r="K69" s="153"/>
    </row>
    <row r="70" spans="1:11" s="151" customFormat="1" ht="18">
      <c r="A70" s="92" t="s">
        <v>8</v>
      </c>
      <c r="B70" s="114">
        <v>226.963</v>
      </c>
      <c r="C70" s="115">
        <f>292.7-53.1-12</f>
        <v>227.6</v>
      </c>
      <c r="D70" s="94">
        <f>169.5+50+6+1.5</f>
        <v>227</v>
      </c>
      <c r="E70" s="96">
        <f>D70/D69*100</f>
        <v>100</v>
      </c>
      <c r="F70" s="96">
        <f t="shared" si="7"/>
        <v>100.01630221666088</v>
      </c>
      <c r="G70" s="96">
        <f t="shared" si="5"/>
        <v>99.73637961335677</v>
      </c>
      <c r="H70" s="94">
        <f t="shared" si="8"/>
        <v>-0.03700000000000614</v>
      </c>
      <c r="I70" s="94">
        <f t="shared" si="6"/>
        <v>0.5999999999999943</v>
      </c>
      <c r="J70" s="152"/>
      <c r="K70" s="153"/>
    </row>
    <row r="71" spans="1:11" s="151" customFormat="1" ht="18.75" thickBot="1">
      <c r="A71" s="92" t="s">
        <v>9</v>
      </c>
      <c r="B71" s="114">
        <f>167.3+23.1</f>
        <v>190.4</v>
      </c>
      <c r="C71" s="115">
        <f>293.1-30-14-37.9+0.1-20.9</f>
        <v>190.4</v>
      </c>
      <c r="D71" s="94">
        <v>0</v>
      </c>
      <c r="E71" s="96">
        <f>D71/D70*100</f>
        <v>0</v>
      </c>
      <c r="F71" s="96">
        <f t="shared" si="7"/>
        <v>0</v>
      </c>
      <c r="G71" s="96">
        <f t="shared" si="5"/>
        <v>0</v>
      </c>
      <c r="H71" s="94">
        <f t="shared" si="8"/>
        <v>190.4</v>
      </c>
      <c r="I71" s="94">
        <f t="shared" si="6"/>
        <v>190.4</v>
      </c>
      <c r="J71" s="152"/>
      <c r="K71" s="153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2"/>
      <c r="K72" s="153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2"/>
      <c r="K73" s="153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2"/>
      <c r="K74" s="153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2"/>
      <c r="K75" s="153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2"/>
      <c r="K76" s="153"/>
    </row>
    <row r="77" spans="1:11" s="29" customFormat="1" ht="19.5" thickBot="1">
      <c r="A77" s="21" t="s">
        <v>13</v>
      </c>
      <c r="B77" s="43">
        <f>1126.7+616.7</f>
        <v>1743.4</v>
      </c>
      <c r="C77" s="50">
        <f>17000-13500-1000</f>
        <v>2500</v>
      </c>
      <c r="D77" s="51"/>
      <c r="E77" s="31"/>
      <c r="F77" s="31"/>
      <c r="G77" s="31"/>
      <c r="H77" s="51">
        <f>B77-D77</f>
        <v>1743.4</v>
      </c>
      <c r="I77" s="51">
        <f t="shared" si="6"/>
        <v>2500</v>
      </c>
      <c r="J77" s="147"/>
      <c r="K77" s="153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4"/>
      <c r="J78" s="152"/>
      <c r="K78" s="153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2"/>
      <c r="K79" s="153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8"/>
      <c r="K80" s="153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8"/>
      <c r="K81" s="153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8"/>
      <c r="K82" s="153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8"/>
      <c r="K83" s="153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2"/>
      <c r="K84" s="153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2"/>
      <c r="K85" s="153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2"/>
      <c r="K86" s="153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2"/>
      <c r="K87" s="153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2"/>
      <c r="K88" s="153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2"/>
      <c r="K89" s="153"/>
    </row>
    <row r="90" spans="1:11" ht="19.5" thickBot="1">
      <c r="A90" s="11" t="s">
        <v>10</v>
      </c>
      <c r="B90" s="42">
        <f>175244.2+100-321+14144.1</f>
        <v>189167.30000000002</v>
      </c>
      <c r="C90" s="36">
        <f>200580.6+2044.4+100+113.7+1216.5</f>
        <v>204055.2</v>
      </c>
      <c r="D90" s="37">
        <f>163043.6+2929.1+4743+0.1+24.6+255.3+62.3+21.8+32.8+6.6+402.7+1480.2+3226</f>
        <v>176228.1</v>
      </c>
      <c r="E90" s="3">
        <f>D90/D154*100</f>
        <v>10.138858931989171</v>
      </c>
      <c r="F90" s="3">
        <f aca="true" t="shared" si="11" ref="F90:F96">D90/B90*100</f>
        <v>93.15991717384557</v>
      </c>
      <c r="G90" s="3">
        <f t="shared" si="9"/>
        <v>86.36295472989661</v>
      </c>
      <c r="H90" s="37">
        <f aca="true" t="shared" si="12" ref="H90:H96">B90-D90</f>
        <v>12939.200000000012</v>
      </c>
      <c r="I90" s="37">
        <f t="shared" si="10"/>
        <v>27827.100000000006</v>
      </c>
      <c r="J90" s="152"/>
      <c r="K90" s="153"/>
    </row>
    <row r="91" spans="1:11" s="151" customFormat="1" ht="21.75" customHeight="1">
      <c r="A91" s="92" t="s">
        <v>3</v>
      </c>
      <c r="B91" s="114">
        <f>163944.6+273.6+100-321+12937.7</f>
        <v>176934.90000000002</v>
      </c>
      <c r="C91" s="115">
        <f>190000-46.7</f>
        <v>189953.3</v>
      </c>
      <c r="D91" s="9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</f>
        <v>166676.11000000007</v>
      </c>
      <c r="E91" s="96">
        <f>D91/D90*100</f>
        <v>94.57975771173841</v>
      </c>
      <c r="F91" s="96">
        <f t="shared" si="11"/>
        <v>94.20194093985982</v>
      </c>
      <c r="G91" s="96">
        <f t="shared" si="9"/>
        <v>87.74583542375947</v>
      </c>
      <c r="H91" s="94">
        <f t="shared" si="12"/>
        <v>10258.78999999995</v>
      </c>
      <c r="I91" s="94">
        <f t="shared" si="10"/>
        <v>23277.189999999915</v>
      </c>
      <c r="K91" s="153"/>
    </row>
    <row r="92" spans="1:11" s="151" customFormat="1" ht="18">
      <c r="A92" s="92" t="s">
        <v>25</v>
      </c>
      <c r="B92" s="114">
        <f>2081.4-200+447.3</f>
        <v>2328.7000000000003</v>
      </c>
      <c r="C92" s="115">
        <v>2776.4</v>
      </c>
      <c r="D92" s="94">
        <f>57.2+3.4+167+1.4+0.3+83.4+86.9+53.1+5.3+4.7+17+71.3+284.2+22.2+4.8+1.6+54.8+7+38.2+1.9+190+51.9+21+0.9+36.9+5.5+20.1+0.9+46.6+43.3-17.3+22+2.1+65.9+0.7+4.5+1+37+52.4+38.3+64.1+5+1.1+50.5+3.4+14.9</f>
        <v>1728.4000000000003</v>
      </c>
      <c r="E92" s="96">
        <f>D92/D90*100</f>
        <v>0.9807743486992143</v>
      </c>
      <c r="F92" s="96">
        <f t="shared" si="11"/>
        <v>74.22166874221669</v>
      </c>
      <c r="G92" s="96">
        <f t="shared" si="9"/>
        <v>62.25327762570235</v>
      </c>
      <c r="H92" s="94">
        <f t="shared" si="12"/>
        <v>600.3</v>
      </c>
      <c r="I92" s="94">
        <f t="shared" si="10"/>
        <v>1047.9999999999998</v>
      </c>
      <c r="K92" s="153"/>
    </row>
    <row r="93" spans="1:11" s="151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3">
        <f aca="true" t="shared" si="13" ref="K93:K101">C93-B93</f>
        <v>0</v>
      </c>
    </row>
    <row r="94" spans="1:11" s="151" customFormat="1" ht="18.75" thickBot="1">
      <c r="A94" s="92" t="s">
        <v>27</v>
      </c>
      <c r="B94" s="115">
        <f>B90-B91-B92-B93</f>
        <v>9903.699999999993</v>
      </c>
      <c r="C94" s="115">
        <f>C90-C91-C92-C93</f>
        <v>11325.500000000024</v>
      </c>
      <c r="D94" s="115">
        <f>D90-D91-D92-D93</f>
        <v>7823.589999999932</v>
      </c>
      <c r="E94" s="96">
        <f>D94/D90*100</f>
        <v>4.43946793956238</v>
      </c>
      <c r="F94" s="96">
        <f t="shared" si="11"/>
        <v>78.9966376202827</v>
      </c>
      <c r="G94" s="96">
        <f>D94/C94*100</f>
        <v>69.07942254205038</v>
      </c>
      <c r="H94" s="94">
        <f t="shared" si="12"/>
        <v>2080.1100000000615</v>
      </c>
      <c r="I94" s="94">
        <f>C94-D94</f>
        <v>3501.9100000000917</v>
      </c>
      <c r="K94" s="153"/>
    </row>
    <row r="95" spans="1:11" ht="18.75">
      <c r="A95" s="76" t="s">
        <v>12</v>
      </c>
      <c r="B95" s="84">
        <v>40899.5</v>
      </c>
      <c r="C95" s="79">
        <f>46414.5+100+39.4+1153.5-64.6-244.3+39946.8</f>
        <v>87345.3</v>
      </c>
      <c r="D95" s="78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</f>
        <v>36599.600000000006</v>
      </c>
      <c r="E95" s="75">
        <f>D95/D154*100</f>
        <v>2.105669761900803</v>
      </c>
      <c r="F95" s="77">
        <f t="shared" si="11"/>
        <v>89.48666854118022</v>
      </c>
      <c r="G95" s="74">
        <f>D95/C95*100</f>
        <v>41.902197370665625</v>
      </c>
      <c r="H95" s="78">
        <f t="shared" si="12"/>
        <v>4299.899999999994</v>
      </c>
      <c r="I95" s="80">
        <f>C95-D95</f>
        <v>50745.7</v>
      </c>
      <c r="J95" s="152"/>
      <c r="K95" s="153"/>
    </row>
    <row r="96" spans="1:11" s="151" customFormat="1" ht="18.75" thickBot="1">
      <c r="A96" s="117" t="s">
        <v>83</v>
      </c>
      <c r="B96" s="118">
        <v>10114.6</v>
      </c>
      <c r="C96" s="119">
        <v>12814.2</v>
      </c>
      <c r="D96" s="120">
        <f>194.6+1234+3.4+0.5+79.6+1026.4+0.7+86.4+939.3+4.2+87.7+624.7+8+489.4+90.3+1.9+597.9+5.5+67.2+2.1+31.9+0.2+90.5+32.4+530.2+66+90.3+454.6+5.4+212.8+729.6+32.4+38.7+3.5+1+0.1+88.2+719.7+5.7+3.5+34.6+90.6+1035.4+1.6-0.1</f>
        <v>9842.599999999999</v>
      </c>
      <c r="E96" s="121">
        <f>D96/D95*100</f>
        <v>26.89264363544956</v>
      </c>
      <c r="F96" s="122">
        <f t="shared" si="11"/>
        <v>97.31081802542857</v>
      </c>
      <c r="G96" s="123">
        <f>D96/C96*100</f>
        <v>76.81010129387708</v>
      </c>
      <c r="H96" s="124">
        <f t="shared" si="12"/>
        <v>272.0000000000018</v>
      </c>
      <c r="I96" s="113">
        <f>C96-D96</f>
        <v>2971.600000000002</v>
      </c>
      <c r="J96" s="152"/>
      <c r="K96" s="153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2"/>
      <c r="K97" s="153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2"/>
      <c r="K98" s="153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4"/>
      <c r="J99" s="152"/>
      <c r="K99" s="153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6"/>
      <c r="K100" s="153">
        <f t="shared" si="13"/>
        <v>0</v>
      </c>
    </row>
    <row r="101" spans="1:11" ht="6.75" customHeight="1" hidden="1" thickBot="1">
      <c r="A101" s="155"/>
      <c r="B101" s="156"/>
      <c r="C101" s="54"/>
      <c r="D101" s="55"/>
      <c r="E101" s="12"/>
      <c r="F101" s="6"/>
      <c r="G101" s="6"/>
      <c r="H101" s="49"/>
      <c r="I101" s="154"/>
      <c r="J101" s="152"/>
      <c r="K101" s="153">
        <f t="shared" si="13"/>
        <v>0</v>
      </c>
    </row>
    <row r="102" spans="1:11" s="29" customFormat="1" ht="19.5" thickBot="1">
      <c r="A102" s="11" t="s">
        <v>11</v>
      </c>
      <c r="B102" s="83">
        <f>11280.9-100+784.6</f>
        <v>11965.5</v>
      </c>
      <c r="C102" s="66">
        <f>11266.5-91.2+1707.2+14.9+0.2+1010.6</f>
        <v>13908.2</v>
      </c>
      <c r="D102" s="62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</f>
        <v>10069.7</v>
      </c>
      <c r="E102" s="16">
        <f>D102/D154*100</f>
        <v>0.5793359162781154</v>
      </c>
      <c r="F102" s="16">
        <f>D102/B102*100</f>
        <v>84.1561154987255</v>
      </c>
      <c r="G102" s="16">
        <f aca="true" t="shared" si="14" ref="G102:G152">D102/C102*100</f>
        <v>72.40117340849284</v>
      </c>
      <c r="H102" s="62">
        <f aca="true" t="shared" si="15" ref="H102:H108">B102-D102</f>
        <v>1895.7999999999993</v>
      </c>
      <c r="I102" s="62">
        <f aca="true" t="shared" si="16" ref="I102:I152">C102-D102</f>
        <v>3838.5</v>
      </c>
      <c r="J102" s="147"/>
      <c r="K102" s="153"/>
    </row>
    <row r="103" spans="1:11" s="151" customFormat="1" ht="18.75" customHeight="1">
      <c r="A103" s="92" t="s">
        <v>3</v>
      </c>
      <c r="B103" s="106">
        <f>291.1+36.3</f>
        <v>327.40000000000003</v>
      </c>
      <c r="C103" s="107">
        <v>363.8</v>
      </c>
      <c r="D103" s="107">
        <f>31.2+4.8+33.9+5.2+30.9+10.3+19.9+19.5+19.7+20.2+35.3+10.4+50</f>
        <v>291.29999999999995</v>
      </c>
      <c r="E103" s="108">
        <f>D103/D102*100</f>
        <v>2.892836926621448</v>
      </c>
      <c r="F103" s="96">
        <f>D103/B103*100</f>
        <v>88.97373243738544</v>
      </c>
      <c r="G103" s="108">
        <f>D103/C103*100</f>
        <v>80.07146783947222</v>
      </c>
      <c r="H103" s="107">
        <f t="shared" si="15"/>
        <v>36.10000000000008</v>
      </c>
      <c r="I103" s="107">
        <f t="shared" si="16"/>
        <v>72.50000000000006</v>
      </c>
      <c r="J103" s="152"/>
      <c r="K103" s="153"/>
    </row>
    <row r="104" spans="1:11" s="151" customFormat="1" ht="18">
      <c r="A104" s="109" t="s">
        <v>48</v>
      </c>
      <c r="B104" s="93">
        <f>9329.9-100+615.5</f>
        <v>9845.4</v>
      </c>
      <c r="C104" s="94">
        <f>8949.2-91.2+1682.1+14.9+68.9</f>
        <v>10623.9</v>
      </c>
      <c r="D104" s="9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</f>
        <v>8573.299999999997</v>
      </c>
      <c r="E104" s="96">
        <f>D104/D102*100</f>
        <v>85.1395771472834</v>
      </c>
      <c r="F104" s="96">
        <f aca="true" t="shared" si="17" ref="F104:F152">D104/B104*100</f>
        <v>87.07924512970521</v>
      </c>
      <c r="G104" s="96">
        <f t="shared" si="14"/>
        <v>80.69823699394759</v>
      </c>
      <c r="H104" s="94">
        <f t="shared" si="15"/>
        <v>1272.1000000000022</v>
      </c>
      <c r="I104" s="94">
        <f t="shared" si="16"/>
        <v>2050.600000000002</v>
      </c>
      <c r="J104" s="152"/>
      <c r="K104" s="153"/>
    </row>
    <row r="105" spans="1:11" s="151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2"/>
      <c r="K105" s="153"/>
    </row>
    <row r="106" spans="1:11" s="151" customFormat="1" ht="18.75" thickBot="1">
      <c r="A106" s="110" t="s">
        <v>27</v>
      </c>
      <c r="B106" s="111">
        <f>B102-B103-B104</f>
        <v>1792.7000000000007</v>
      </c>
      <c r="C106" s="111">
        <f>C102-C103-C104</f>
        <v>2920.500000000002</v>
      </c>
      <c r="D106" s="111">
        <f>D102-D103-D104</f>
        <v>1205.100000000004</v>
      </c>
      <c r="E106" s="112">
        <f>D106/D102*100</f>
        <v>11.967585926095156</v>
      </c>
      <c r="F106" s="112">
        <f t="shared" si="17"/>
        <v>67.2226250906456</v>
      </c>
      <c r="G106" s="112">
        <f t="shared" si="14"/>
        <v>41.263482280431546</v>
      </c>
      <c r="H106" s="113">
        <f t="shared" si="15"/>
        <v>587.5999999999967</v>
      </c>
      <c r="I106" s="113">
        <f t="shared" si="16"/>
        <v>1715.3999999999978</v>
      </c>
      <c r="J106" s="152"/>
      <c r="K106" s="153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517178.99206000014</v>
      </c>
      <c r="C107" s="64">
        <f>SUM(C108:C151)-C115-C120+C152-C142-C143-C109-C112-C123-C124-C140-C133-C131-C138-C118</f>
        <v>578004.4999999999</v>
      </c>
      <c r="D107" s="64">
        <f>SUM(D108:D151)-D115-D120+D152-D142-D143-D109-D112-D123-D124-D140-D133-D131-D138-D118</f>
        <v>440245.6</v>
      </c>
      <c r="E107" s="65">
        <f>D107/D154*100</f>
        <v>25.328469374798523</v>
      </c>
      <c r="F107" s="65">
        <f>D107/B107*100</f>
        <v>85.12441664469719</v>
      </c>
      <c r="G107" s="65">
        <f t="shared" si="14"/>
        <v>76.16646583201343</v>
      </c>
      <c r="H107" s="64">
        <f t="shared" si="15"/>
        <v>76933.39206000016</v>
      </c>
      <c r="I107" s="64">
        <f t="shared" si="16"/>
        <v>137758.8999999999</v>
      </c>
      <c r="J107" s="144"/>
      <c r="K107" s="153"/>
      <c r="L107" s="86"/>
    </row>
    <row r="108" spans="1:12" s="151" customFormat="1" ht="37.5">
      <c r="A108" s="87" t="s">
        <v>52</v>
      </c>
      <c r="B108" s="141">
        <f>3293.6+593</f>
        <v>3886.6</v>
      </c>
      <c r="C108" s="138">
        <v>4459</v>
      </c>
      <c r="D108" s="88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</f>
        <v>2322.2999999999997</v>
      </c>
      <c r="E108" s="89">
        <f>D108/D107*100</f>
        <v>0.5275010130708859</v>
      </c>
      <c r="F108" s="89">
        <f t="shared" si="17"/>
        <v>59.75145371275664</v>
      </c>
      <c r="G108" s="89">
        <f t="shared" si="14"/>
        <v>52.081184122000444</v>
      </c>
      <c r="H108" s="90">
        <f t="shared" si="15"/>
        <v>1564.3000000000002</v>
      </c>
      <c r="I108" s="90">
        <f t="shared" si="16"/>
        <v>2136.7000000000003</v>
      </c>
      <c r="K108" s="153"/>
      <c r="L108" s="91"/>
    </row>
    <row r="109" spans="1:12" s="151" customFormat="1" ht="18.75">
      <c r="A109" s="92" t="s">
        <v>25</v>
      </c>
      <c r="B109" s="93">
        <f>1460.7+267.1</f>
        <v>1727.8000000000002</v>
      </c>
      <c r="C109" s="94">
        <v>1995</v>
      </c>
      <c r="D109" s="95">
        <f>47.8+0.9+59.7+88.3+0.1+59.2+38.8+107.4+24+91.1+38+42.5+2+31.4+47.6+36.5-21.6+46.3+2.4+36.1+37.9+4</f>
        <v>820.4</v>
      </c>
      <c r="E109" s="96">
        <f>D109/D108*100</f>
        <v>35.32704646255868</v>
      </c>
      <c r="F109" s="96">
        <f t="shared" si="17"/>
        <v>47.4823474939229</v>
      </c>
      <c r="G109" s="96">
        <f t="shared" si="14"/>
        <v>41.12280701754386</v>
      </c>
      <c r="H109" s="94">
        <f aca="true" t="shared" si="18" ref="H109:H152">B109-D109</f>
        <v>907.4000000000002</v>
      </c>
      <c r="I109" s="94">
        <f t="shared" si="16"/>
        <v>1174.6</v>
      </c>
      <c r="K109" s="153"/>
      <c r="L109" s="91"/>
    </row>
    <row r="110" spans="1:12" s="151" customFormat="1" ht="34.5" customHeight="1" hidden="1">
      <c r="A110" s="97" t="s">
        <v>78</v>
      </c>
      <c r="B110" s="140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3"/>
      <c r="L110" s="91"/>
    </row>
    <row r="111" spans="1:12" s="85" customFormat="1" ht="34.5" customHeight="1">
      <c r="A111" s="97" t="s">
        <v>93</v>
      </c>
      <c r="B111" s="142">
        <f>170.3+14.9</f>
        <v>185.20000000000002</v>
      </c>
      <c r="C111" s="98">
        <v>200</v>
      </c>
      <c r="D111" s="99"/>
      <c r="E111" s="89">
        <f>D111/D107*100</f>
        <v>0</v>
      </c>
      <c r="F111" s="89">
        <f t="shared" si="17"/>
        <v>0</v>
      </c>
      <c r="G111" s="89">
        <f t="shared" si="14"/>
        <v>0</v>
      </c>
      <c r="H111" s="90">
        <f t="shared" si="18"/>
        <v>185.20000000000002</v>
      </c>
      <c r="I111" s="90">
        <f t="shared" si="16"/>
        <v>200</v>
      </c>
      <c r="K111" s="153"/>
      <c r="L111" s="91"/>
    </row>
    <row r="112" spans="1:12" s="151" customFormat="1" ht="18.75" hidden="1">
      <c r="A112" s="92" t="s">
        <v>25</v>
      </c>
      <c r="B112" s="139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3"/>
      <c r="L112" s="91"/>
    </row>
    <row r="113" spans="1:12" s="151" customFormat="1" ht="18.75">
      <c r="A113" s="97" t="s">
        <v>89</v>
      </c>
      <c r="B113" s="142">
        <v>64.296</v>
      </c>
      <c r="C113" s="90">
        <v>64.3</v>
      </c>
      <c r="D113" s="88">
        <f>6.8+7+3.6+16.9+0.1</f>
        <v>34.4</v>
      </c>
      <c r="E113" s="89">
        <f>D113/D107*100</f>
        <v>0.007813820285767763</v>
      </c>
      <c r="F113" s="89">
        <f t="shared" si="17"/>
        <v>53.50255070299862</v>
      </c>
      <c r="G113" s="89">
        <f t="shared" si="14"/>
        <v>53.499222395023324</v>
      </c>
      <c r="H113" s="90">
        <f t="shared" si="18"/>
        <v>29.896000000000008</v>
      </c>
      <c r="I113" s="90">
        <f t="shared" si="16"/>
        <v>29.9</v>
      </c>
      <c r="K113" s="153"/>
      <c r="L113" s="91"/>
    </row>
    <row r="114" spans="1:12" s="151" customFormat="1" ht="37.5">
      <c r="A114" s="97" t="s">
        <v>38</v>
      </c>
      <c r="B114" s="142">
        <f>2758.7+278.3</f>
        <v>3037</v>
      </c>
      <c r="C114" s="90">
        <v>3311.5</v>
      </c>
      <c r="D114" s="88">
        <f>136.4+10+40+6.6+6.1+0.2+177.4+10+1.8+25.1+29.4+48.1+8.1+193.1+10+0.1+17.8+8.8+132.4+79.7+12.6+4.3+3.5+212.4+8.1+0.4+10.8+218.3+5.3+16.4+166.6+54.3+12.8+52.1+1.1+0.2+214.8+15.7+3.7+4.8+133.9+54.7+10.7+6.3+7.4+1.2+219.4+17.7+3.9+0.9</f>
        <v>2415.3999999999996</v>
      </c>
      <c r="E114" s="89">
        <f>D114/D107*100</f>
        <v>0.5486482999489376</v>
      </c>
      <c r="F114" s="89">
        <f t="shared" si="17"/>
        <v>79.53243332235758</v>
      </c>
      <c r="G114" s="89">
        <f t="shared" si="14"/>
        <v>72.93975539785595</v>
      </c>
      <c r="H114" s="90">
        <f t="shared" si="18"/>
        <v>621.6000000000004</v>
      </c>
      <c r="I114" s="90">
        <f t="shared" si="16"/>
        <v>896.1000000000004</v>
      </c>
      <c r="K114" s="153"/>
      <c r="L114" s="91"/>
    </row>
    <row r="115" spans="1:12" s="151" customFormat="1" ht="18.75" hidden="1">
      <c r="A115" s="100" t="s">
        <v>43</v>
      </c>
      <c r="B115" s="139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3"/>
      <c r="L115" s="91"/>
    </row>
    <row r="116" spans="1:12" s="85" customFormat="1" ht="18.75" customHeight="1" hidden="1">
      <c r="A116" s="97" t="s">
        <v>90</v>
      </c>
      <c r="B116" s="140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3"/>
      <c r="L116" s="91"/>
    </row>
    <row r="117" spans="1:12" s="151" customFormat="1" ht="37.5">
      <c r="A117" s="97" t="s">
        <v>47</v>
      </c>
      <c r="B117" s="142">
        <f>200-130</f>
        <v>70</v>
      </c>
      <c r="C117" s="90">
        <f>200-130</f>
        <v>70</v>
      </c>
      <c r="D117" s="88">
        <f>15+40+1.2+1.8+2.6+2.4+2.8</f>
        <v>65.8</v>
      </c>
      <c r="E117" s="89">
        <f>D117/D107*100</f>
        <v>0.014946202755916245</v>
      </c>
      <c r="F117" s="89">
        <f>D117/B117*100</f>
        <v>94</v>
      </c>
      <c r="G117" s="89">
        <f t="shared" si="14"/>
        <v>94</v>
      </c>
      <c r="H117" s="90">
        <f t="shared" si="18"/>
        <v>4.200000000000003</v>
      </c>
      <c r="I117" s="90">
        <f t="shared" si="16"/>
        <v>4.200000000000003</v>
      </c>
      <c r="K117" s="153"/>
      <c r="L117" s="91"/>
    </row>
    <row r="118" spans="1:12" s="151" customFormat="1" ht="18.75">
      <c r="A118" s="100" t="s">
        <v>88</v>
      </c>
      <c r="B118" s="149">
        <v>40</v>
      </c>
      <c r="C118" s="150">
        <v>40</v>
      </c>
      <c r="D118" s="95">
        <v>40</v>
      </c>
      <c r="E118" s="96">
        <f>D118/D117*100</f>
        <v>60.790273556231</v>
      </c>
      <c r="F118" s="96">
        <f>D118/B118*100</f>
        <v>100</v>
      </c>
      <c r="G118" s="96">
        <f>D118/C118*100</f>
        <v>100</v>
      </c>
      <c r="H118" s="94">
        <f>B118-D118</f>
        <v>0</v>
      </c>
      <c r="I118" s="94">
        <f>C118-D118</f>
        <v>0</v>
      </c>
      <c r="K118" s="153"/>
      <c r="L118" s="91"/>
    </row>
    <row r="119" spans="1:12" s="102" customFormat="1" ht="18.75">
      <c r="A119" s="97" t="s">
        <v>15</v>
      </c>
      <c r="B119" s="142">
        <f>388.3+52.7</f>
        <v>441</v>
      </c>
      <c r="C119" s="98">
        <v>491.6</v>
      </c>
      <c r="D119" s="88">
        <f>45.4+9.9+47+6.4+0.4+0.4+45.4+0.4+2.9+45.4+4+6.8+0.4+45.4+0.1+5.8+0.8+0.4+0.8+0.7+13+0.4+5+0.3+0.8+45.4+5+1.1+45.4+0.3+3.7+0.8</f>
        <v>390.00000000000006</v>
      </c>
      <c r="E119" s="89">
        <f>D119/D107*100</f>
        <v>0.08858691603050663</v>
      </c>
      <c r="F119" s="89">
        <f t="shared" si="17"/>
        <v>88.43537414965988</v>
      </c>
      <c r="G119" s="89">
        <f t="shared" si="14"/>
        <v>79.33279088689993</v>
      </c>
      <c r="H119" s="90">
        <f t="shared" si="18"/>
        <v>50.99999999999994</v>
      </c>
      <c r="I119" s="90">
        <f t="shared" si="16"/>
        <v>101.59999999999997</v>
      </c>
      <c r="K119" s="153"/>
      <c r="L119" s="91"/>
    </row>
    <row r="120" spans="1:12" s="103" customFormat="1" ht="18.75">
      <c r="A120" s="100" t="s">
        <v>43</v>
      </c>
      <c r="B120" s="93">
        <v>363.4</v>
      </c>
      <c r="C120" s="94">
        <v>408.8</v>
      </c>
      <c r="D120" s="95">
        <f>45.4+45.4+45.4+45.4+45.4+0.1+45.4+45.4</f>
        <v>317.9</v>
      </c>
      <c r="E120" s="96">
        <f>D120/D119*100</f>
        <v>81.5128205128205</v>
      </c>
      <c r="F120" s="96">
        <f t="shared" si="17"/>
        <v>87.47936158503026</v>
      </c>
      <c r="G120" s="96">
        <f t="shared" si="14"/>
        <v>77.76418786692759</v>
      </c>
      <c r="H120" s="94">
        <f t="shared" si="18"/>
        <v>45.5</v>
      </c>
      <c r="I120" s="94">
        <f t="shared" si="16"/>
        <v>90.90000000000003</v>
      </c>
      <c r="K120" s="153"/>
      <c r="L120" s="91"/>
    </row>
    <row r="121" spans="1:12" s="102" customFormat="1" ht="18.75">
      <c r="A121" s="97" t="s">
        <v>105</v>
      </c>
      <c r="B121" s="142">
        <f>275+22</f>
        <v>297</v>
      </c>
      <c r="C121" s="98">
        <v>317</v>
      </c>
      <c r="D121" s="88">
        <f>3.6+3</f>
        <v>6.6</v>
      </c>
      <c r="E121" s="89">
        <f>D121/D107*100</f>
        <v>0.0014991631943624196</v>
      </c>
      <c r="F121" s="89">
        <f t="shared" si="17"/>
        <v>2.222222222222222</v>
      </c>
      <c r="G121" s="89">
        <f t="shared" si="14"/>
        <v>2.082018927444795</v>
      </c>
      <c r="H121" s="90">
        <f t="shared" si="18"/>
        <v>290.4</v>
      </c>
      <c r="I121" s="90">
        <f t="shared" si="16"/>
        <v>310.4</v>
      </c>
      <c r="K121" s="153"/>
      <c r="L121" s="91"/>
    </row>
    <row r="122" spans="1:12" s="102" customFormat="1" ht="21.75" customHeight="1">
      <c r="A122" s="97" t="s">
        <v>94</v>
      </c>
      <c r="B122" s="142">
        <f>559.999-88.1+88.1</f>
        <v>559.999</v>
      </c>
      <c r="C122" s="98">
        <f>480+80</f>
        <v>560</v>
      </c>
      <c r="D122" s="99">
        <f>12+360.2+19.8+20.5+40.3+18.3+0.8</f>
        <v>471.90000000000003</v>
      </c>
      <c r="E122" s="101">
        <f>D122/D107*100</f>
        <v>0.10719016839691302</v>
      </c>
      <c r="F122" s="89">
        <f t="shared" si="17"/>
        <v>84.26800762144218</v>
      </c>
      <c r="G122" s="89">
        <f t="shared" si="14"/>
        <v>84.26785714285715</v>
      </c>
      <c r="H122" s="90">
        <f t="shared" si="18"/>
        <v>88.09899999999999</v>
      </c>
      <c r="I122" s="90">
        <f t="shared" si="16"/>
        <v>88.09999999999997</v>
      </c>
      <c r="J122" s="144"/>
      <c r="K122" s="153"/>
      <c r="L122" s="91"/>
    </row>
    <row r="123" spans="1:12" s="104" customFormat="1" ht="18.75" hidden="1">
      <c r="A123" s="92" t="s">
        <v>80</v>
      </c>
      <c r="B123" s="139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3"/>
      <c r="L123" s="91"/>
    </row>
    <row r="124" spans="1:12" s="104" customFormat="1" ht="18.75" hidden="1">
      <c r="A124" s="92" t="s">
        <v>49</v>
      </c>
      <c r="B124" s="139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3"/>
      <c r="L124" s="91"/>
    </row>
    <row r="125" spans="1:12" s="102" customFormat="1" ht="37.5">
      <c r="A125" s="97" t="s">
        <v>95</v>
      </c>
      <c r="B125" s="142">
        <v>50723.5</v>
      </c>
      <c r="C125" s="98">
        <f>45511.3+17000</f>
        <v>62511.3</v>
      </c>
      <c r="D125" s="99">
        <f>3529.6+2264.3+1265.3+2996.5+533.1+738.7+2380.2+1722.3+1049.4+1874.1+1476.2+1455.5+94.4+1416+1268.6+1913.6+457.2+1108.2+2510.4+39.4+1337.2+1221+3120.4+2083.6+2630.6+1941.5+3537.3+439.6+1361.8-39.4</f>
        <v>47726.600000000006</v>
      </c>
      <c r="E125" s="101">
        <f>D125/D107*100</f>
        <v>10.840903350311738</v>
      </c>
      <c r="F125" s="89">
        <f t="shared" si="17"/>
        <v>94.09169319940463</v>
      </c>
      <c r="G125" s="89">
        <f t="shared" si="14"/>
        <v>76.34875614488901</v>
      </c>
      <c r="H125" s="90">
        <f t="shared" si="18"/>
        <v>2996.899999999994</v>
      </c>
      <c r="I125" s="90">
        <f t="shared" si="16"/>
        <v>14784.699999999997</v>
      </c>
      <c r="K125" s="153"/>
      <c r="L125" s="91"/>
    </row>
    <row r="126" spans="1:12" s="102" customFormat="1" ht="18.75">
      <c r="A126" s="97" t="s">
        <v>91</v>
      </c>
      <c r="B126" s="142">
        <f>685+10</f>
        <v>695</v>
      </c>
      <c r="C126" s="98">
        <v>700</v>
      </c>
      <c r="D126" s="99">
        <f>9.6+1.5</f>
        <v>11.1</v>
      </c>
      <c r="E126" s="101">
        <f>D126/D107*100</f>
        <v>0.0025213199177913422</v>
      </c>
      <c r="F126" s="89">
        <f t="shared" si="17"/>
        <v>1.5971223021582732</v>
      </c>
      <c r="G126" s="89">
        <f t="shared" si="14"/>
        <v>1.5857142857142859</v>
      </c>
      <c r="H126" s="90">
        <f t="shared" si="18"/>
        <v>683.9</v>
      </c>
      <c r="I126" s="90">
        <f t="shared" si="16"/>
        <v>688.9</v>
      </c>
      <c r="K126" s="153"/>
      <c r="L126" s="91"/>
    </row>
    <row r="127" spans="1:17" s="102" customFormat="1" ht="37.5">
      <c r="A127" s="97" t="s">
        <v>100</v>
      </c>
      <c r="B127" s="142">
        <f>200+250</f>
        <v>450</v>
      </c>
      <c r="C127" s="98">
        <f>200+250</f>
        <v>450</v>
      </c>
      <c r="D127" s="99">
        <f>63.1+15.9+49.6+42.2</f>
        <v>170.8</v>
      </c>
      <c r="E127" s="101">
        <f>D127/D107*100</f>
        <v>0.0387965263025911</v>
      </c>
      <c r="F127" s="89">
        <f t="shared" si="17"/>
        <v>37.955555555555556</v>
      </c>
      <c r="G127" s="89">
        <f t="shared" si="14"/>
        <v>37.955555555555556</v>
      </c>
      <c r="H127" s="90">
        <f t="shared" si="18"/>
        <v>279.2</v>
      </c>
      <c r="I127" s="90">
        <f t="shared" si="16"/>
        <v>279.2</v>
      </c>
      <c r="K127" s="153"/>
      <c r="L127" s="91"/>
      <c r="Q127" s="91"/>
    </row>
    <row r="128" spans="1:17" s="102" customFormat="1" ht="37.5">
      <c r="A128" s="97" t="s">
        <v>85</v>
      </c>
      <c r="B128" s="142">
        <v>111.1</v>
      </c>
      <c r="C128" s="98">
        <f>111.1</f>
        <v>111.1</v>
      </c>
      <c r="D128" s="99">
        <f>34.5+22.7</f>
        <v>57.2</v>
      </c>
      <c r="E128" s="101">
        <f>D128/D107*100</f>
        <v>0.012992747684474303</v>
      </c>
      <c r="F128" s="89">
        <f t="shared" si="17"/>
        <v>51.48514851485149</v>
      </c>
      <c r="G128" s="89">
        <f t="shared" si="14"/>
        <v>51.48514851485149</v>
      </c>
      <c r="H128" s="90">
        <f t="shared" si="18"/>
        <v>53.89999999999999</v>
      </c>
      <c r="I128" s="90">
        <f t="shared" si="16"/>
        <v>53.89999999999999</v>
      </c>
      <c r="K128" s="153"/>
      <c r="L128" s="91"/>
      <c r="Q128" s="91"/>
    </row>
    <row r="129" spans="1:12" s="102" customFormat="1" ht="18.75" hidden="1">
      <c r="A129" s="100" t="s">
        <v>83</v>
      </c>
      <c r="B129" s="140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3"/>
      <c r="L129" s="91"/>
    </row>
    <row r="130" spans="1:17" s="102" customFormat="1" ht="37.5">
      <c r="A130" s="97" t="s">
        <v>57</v>
      </c>
      <c r="B130" s="142">
        <f>879.4+25.3</f>
        <v>904.6999999999999</v>
      </c>
      <c r="C130" s="98">
        <v>942</v>
      </c>
      <c r="D130" s="99">
        <f>7+4.2+0.1+12.3+0.2+7.1+17.8+14.9+1.7+0.1+7.4+7+2.7+3.7+7.1+5.3+31.3+16.4+2.5+1.7+26.7+0.1+13.8+0.1+2.9+6.5+0.6+7+4.8+0.1+17.3+0.5+7.6+29.1+0.2+0.1+7.4+1+0.1+0.2+0.1+0.4+7.4+2.8+0.8+6.9+26.7+15.1+8.8+14.7+0.1+0.2+9.7+46+7.9+0.3+150.5</f>
        <v>575</v>
      </c>
      <c r="E130" s="101">
        <f>D130/D107*100</f>
        <v>0.1306089146603623</v>
      </c>
      <c r="F130" s="89">
        <f t="shared" si="17"/>
        <v>63.55698021443573</v>
      </c>
      <c r="G130" s="89">
        <f t="shared" si="14"/>
        <v>61.04033970276008</v>
      </c>
      <c r="H130" s="90">
        <f t="shared" si="18"/>
        <v>329.69999999999993</v>
      </c>
      <c r="I130" s="90">
        <f t="shared" si="16"/>
        <v>367</v>
      </c>
      <c r="K130" s="153"/>
      <c r="L130" s="91"/>
      <c r="Q130" s="91"/>
    </row>
    <row r="131" spans="1:17" s="103" customFormat="1" ht="18.75">
      <c r="A131" s="92" t="s">
        <v>88</v>
      </c>
      <c r="B131" s="93">
        <v>496.9</v>
      </c>
      <c r="C131" s="94">
        <v>510.8</v>
      </c>
      <c r="D131" s="95">
        <f>7+7.1+7+7.1+7+7+7.4+7.4+7.4+46+7.3+150.5</f>
        <v>268.2</v>
      </c>
      <c r="E131" s="96">
        <f>D131/D130*100</f>
        <v>46.643478260869564</v>
      </c>
      <c r="F131" s="96">
        <f>D131/B131*100</f>
        <v>53.97464278526867</v>
      </c>
      <c r="G131" s="96">
        <f t="shared" si="14"/>
        <v>52.50587314017228</v>
      </c>
      <c r="H131" s="94">
        <f t="shared" si="18"/>
        <v>228.7</v>
      </c>
      <c r="I131" s="94">
        <f t="shared" si="16"/>
        <v>242.60000000000002</v>
      </c>
      <c r="K131" s="153"/>
      <c r="L131" s="91"/>
      <c r="Q131" s="135"/>
    </row>
    <row r="132" spans="1:12" s="102" customFormat="1" ht="37.5">
      <c r="A132" s="97" t="s">
        <v>103</v>
      </c>
      <c r="B132" s="142">
        <f>395+45</f>
        <v>440</v>
      </c>
      <c r="C132" s="98">
        <v>485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440</v>
      </c>
      <c r="I132" s="90">
        <f t="shared" si="16"/>
        <v>485</v>
      </c>
      <c r="K132" s="153"/>
      <c r="L132" s="91"/>
    </row>
    <row r="133" spans="1:12" s="103" customFormat="1" ht="18.75" hidden="1">
      <c r="A133" s="100" t="s">
        <v>43</v>
      </c>
      <c r="B133" s="139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3"/>
      <c r="L133" s="91"/>
    </row>
    <row r="134" spans="1:12" s="102" customFormat="1" ht="35.25" customHeight="1" hidden="1">
      <c r="A134" s="97" t="s">
        <v>102</v>
      </c>
      <c r="B134" s="140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3"/>
      <c r="L134" s="91"/>
    </row>
    <row r="135" spans="1:12" s="102" customFormat="1" ht="21.75" customHeight="1" hidden="1">
      <c r="A135" s="97" t="s">
        <v>101</v>
      </c>
      <c r="B135" s="140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3"/>
      <c r="L135" s="91"/>
    </row>
    <row r="136" spans="1:12" s="102" customFormat="1" ht="35.25" customHeight="1">
      <c r="A136" s="97" t="s">
        <v>87</v>
      </c>
      <c r="B136" s="142">
        <f>315+35</f>
        <v>350</v>
      </c>
      <c r="C136" s="98">
        <f>383.2+1100</f>
        <v>1483.2</v>
      </c>
      <c r="D136" s="99">
        <f>2.9+1.5+9.7+8.2+0.2-0.4+16+13.6+102.3+20.9+65+5.6+39.4</f>
        <v>284.9</v>
      </c>
      <c r="E136" s="101">
        <f>D136/D107*100</f>
        <v>0.06471387788997778</v>
      </c>
      <c r="F136" s="89">
        <f t="shared" si="17"/>
        <v>81.39999999999999</v>
      </c>
      <c r="G136" s="89">
        <f t="shared" si="14"/>
        <v>19.208468176914778</v>
      </c>
      <c r="H136" s="90">
        <f t="shared" si="18"/>
        <v>65.10000000000002</v>
      </c>
      <c r="I136" s="90">
        <f t="shared" si="16"/>
        <v>1198.3000000000002</v>
      </c>
      <c r="K136" s="153"/>
      <c r="L136" s="91"/>
    </row>
    <row r="137" spans="1:12" s="102" customFormat="1" ht="39" customHeight="1">
      <c r="A137" s="97" t="s">
        <v>54</v>
      </c>
      <c r="B137" s="142">
        <f>280+40</f>
        <v>320</v>
      </c>
      <c r="C137" s="98">
        <v>350</v>
      </c>
      <c r="D137" s="99">
        <f>3.7+1.9+30+0.6+12.1+11.2+3.6+6+7.1+2.2</f>
        <v>78.39999999999999</v>
      </c>
      <c r="E137" s="101">
        <f>D137/D107*100</f>
        <v>0.017808241581517226</v>
      </c>
      <c r="F137" s="89">
        <f t="shared" si="17"/>
        <v>24.499999999999996</v>
      </c>
      <c r="G137" s="89">
        <f t="shared" si="14"/>
        <v>22.4</v>
      </c>
      <c r="H137" s="90">
        <f t="shared" si="18"/>
        <v>241.60000000000002</v>
      </c>
      <c r="I137" s="90">
        <f t="shared" si="16"/>
        <v>271.6</v>
      </c>
      <c r="K137" s="153"/>
      <c r="L137" s="91"/>
    </row>
    <row r="138" spans="1:12" s="103" customFormat="1" ht="18.75">
      <c r="A138" s="92" t="s">
        <v>88</v>
      </c>
      <c r="B138" s="93">
        <f>86+12</f>
        <v>98</v>
      </c>
      <c r="C138" s="94">
        <v>110</v>
      </c>
      <c r="D138" s="95">
        <f>3.7+1.9+12.1+11.1+3.6+6+7.1+2.2</f>
        <v>47.7</v>
      </c>
      <c r="E138" s="96"/>
      <c r="F138" s="89">
        <f>D138/B138*100</f>
        <v>48.673469387755105</v>
      </c>
      <c r="G138" s="96">
        <f>D138/C138*100</f>
        <v>43.36363636363637</v>
      </c>
      <c r="H138" s="94">
        <f>B138-D138</f>
        <v>50.3</v>
      </c>
      <c r="I138" s="94">
        <f>C138-D138</f>
        <v>62.3</v>
      </c>
      <c r="K138" s="153"/>
      <c r="L138" s="91"/>
    </row>
    <row r="139" spans="1:12" s="102" customFormat="1" ht="32.25" customHeight="1">
      <c r="A139" s="97" t="s">
        <v>84</v>
      </c>
      <c r="B139" s="142">
        <f>501.5+55.5</f>
        <v>557</v>
      </c>
      <c r="C139" s="98">
        <v>607.7</v>
      </c>
      <c r="D139" s="99">
        <f>76+0.3+41+44+1.8+16.3+2.4+30+0.6+0.2+27.4+0.2+4.5-0.2+31.4+4.5+7.9+26.6+4.5+0.5+26.6+0.3+4.3+1.1+0.3+24+0.5+4.2+38.1+0.8+4.8+0.8+29.1</f>
        <v>454.8000000000002</v>
      </c>
      <c r="E139" s="101">
        <f>D139/D107*100</f>
        <v>0.10330597284788313</v>
      </c>
      <c r="F139" s="89">
        <f>D139/B139*100</f>
        <v>81.65170556552965</v>
      </c>
      <c r="G139" s="89">
        <f>D139/C139*100</f>
        <v>74.83955899292415</v>
      </c>
      <c r="H139" s="90">
        <f t="shared" si="18"/>
        <v>102.19999999999982</v>
      </c>
      <c r="I139" s="90">
        <f t="shared" si="16"/>
        <v>152.89999999999986</v>
      </c>
      <c r="K139" s="153"/>
      <c r="L139" s="91"/>
    </row>
    <row r="140" spans="1:12" s="103" customFormat="1" ht="18.75">
      <c r="A140" s="92" t="s">
        <v>25</v>
      </c>
      <c r="B140" s="93">
        <f>402+46.1</f>
        <v>448.1</v>
      </c>
      <c r="C140" s="94">
        <v>489.6</v>
      </c>
      <c r="D140" s="95">
        <f>76+37.6+44+1.2+0.7+30+27.4+30.6+0.6+26+0.5+26+0.3+24+24+0.5+0.8+24</f>
        <v>374.2</v>
      </c>
      <c r="E140" s="96">
        <f>D140/D139*100</f>
        <v>82.27792436235704</v>
      </c>
      <c r="F140" s="96">
        <f t="shared" si="17"/>
        <v>83.50814550323588</v>
      </c>
      <c r="G140" s="96">
        <f>D140/C140*100</f>
        <v>76.4297385620915</v>
      </c>
      <c r="H140" s="94">
        <f t="shared" si="18"/>
        <v>73.90000000000003</v>
      </c>
      <c r="I140" s="94">
        <f t="shared" si="16"/>
        <v>115.40000000000003</v>
      </c>
      <c r="K140" s="153"/>
      <c r="L140" s="91"/>
    </row>
    <row r="141" spans="1:12" s="102" customFormat="1" ht="18.75">
      <c r="A141" s="97" t="s">
        <v>96</v>
      </c>
      <c r="B141" s="142">
        <f>1505.2+128.9</f>
        <v>1634.1000000000001</v>
      </c>
      <c r="C141" s="98">
        <v>1760</v>
      </c>
      <c r="D141" s="99">
        <f>107.3+0.4+30.4+78.2+4.1+36.9+117.9+50.5+112.6+5.2+52.3+10.5+76.8-0.2+10.4+82.9+84+50.5+35.7+3.4+90.4+1.3+74.9+86.3+10.5+56.2+19.4+57.2+47.6+4.6+22+60.6+12.7+0.3</f>
        <v>1493.8</v>
      </c>
      <c r="E141" s="101">
        <f>D141/D107*100</f>
        <v>0.3393106029906943</v>
      </c>
      <c r="F141" s="89">
        <f t="shared" si="17"/>
        <v>91.41423413499786</v>
      </c>
      <c r="G141" s="89">
        <f t="shared" si="14"/>
        <v>84.875</v>
      </c>
      <c r="H141" s="90">
        <f t="shared" si="18"/>
        <v>140.30000000000018</v>
      </c>
      <c r="I141" s="90">
        <f t="shared" si="16"/>
        <v>266.20000000000005</v>
      </c>
      <c r="J141" s="144"/>
      <c r="K141" s="153"/>
      <c r="L141" s="91"/>
    </row>
    <row r="142" spans="1:12" s="103" customFormat="1" ht="18.75">
      <c r="A142" s="100" t="s">
        <v>43</v>
      </c>
      <c r="B142" s="93">
        <f>1218.7+109.6</f>
        <v>1328.3</v>
      </c>
      <c r="C142" s="94">
        <v>1437.4</v>
      </c>
      <c r="D142" s="95">
        <f>107.3+25.4+76+34+76.6+47.2+83.8+4.5+35.4+76.8-0.2+60.7+81+50.4+90.4+52.9+85+10.5+37.7+14.2+56.6+47.6+60.4+11.7</f>
        <v>1225.8999999999999</v>
      </c>
      <c r="E142" s="96">
        <f>D142/D141*100</f>
        <v>82.06587227205783</v>
      </c>
      <c r="F142" s="96">
        <f aca="true" t="shared" si="19" ref="F142:F151">D142/B142*100</f>
        <v>92.29089814048031</v>
      </c>
      <c r="G142" s="96">
        <f t="shared" si="14"/>
        <v>85.285932934465</v>
      </c>
      <c r="H142" s="94">
        <f t="shared" si="18"/>
        <v>102.40000000000009</v>
      </c>
      <c r="I142" s="94">
        <f t="shared" si="16"/>
        <v>211.50000000000023</v>
      </c>
      <c r="J142" s="145"/>
      <c r="K142" s="153"/>
      <c r="L142" s="91"/>
    </row>
    <row r="143" spans="1:13" s="103" customFormat="1" ht="18.75">
      <c r="A143" s="92" t="s">
        <v>25</v>
      </c>
      <c r="B143" s="93">
        <f>31.3+3.8</f>
        <v>35.1</v>
      </c>
      <c r="C143" s="94">
        <v>40</v>
      </c>
      <c r="D143" s="95">
        <f>0.4+4.9+0.7+4.7+3.3+0.4+0.7+0.6+0.1+0.1+3.9+1</f>
        <v>20.799999999999997</v>
      </c>
      <c r="E143" s="96">
        <f>D143/D141*100</f>
        <v>1.3924220109787118</v>
      </c>
      <c r="F143" s="96">
        <f t="shared" si="19"/>
        <v>59.259259259259245</v>
      </c>
      <c r="G143" s="96">
        <f>D143/C143*100</f>
        <v>51.99999999999999</v>
      </c>
      <c r="H143" s="94">
        <f t="shared" si="18"/>
        <v>14.300000000000004</v>
      </c>
      <c r="I143" s="94">
        <f t="shared" si="16"/>
        <v>19.200000000000003</v>
      </c>
      <c r="J143" s="145"/>
      <c r="K143" s="153"/>
      <c r="L143" s="91"/>
      <c r="M143" s="135"/>
    </row>
    <row r="144" spans="1:12" s="102" customFormat="1" ht="33.75" customHeight="1">
      <c r="A144" s="105" t="s">
        <v>56</v>
      </c>
      <c r="B144" s="142">
        <f>90+7.5+527</f>
        <v>624.5</v>
      </c>
      <c r="C144" s="98">
        <f>90+534.5</f>
        <v>624.5</v>
      </c>
      <c r="D144" s="99">
        <f>7.5+527+90</f>
        <v>624.5</v>
      </c>
      <c r="E144" s="101">
        <f>D144/D107*100</f>
        <v>0.14185263861808045</v>
      </c>
      <c r="F144" s="89">
        <f t="shared" si="19"/>
        <v>100</v>
      </c>
      <c r="G144" s="89">
        <f t="shared" si="14"/>
        <v>100</v>
      </c>
      <c r="H144" s="90">
        <f t="shared" si="18"/>
        <v>0</v>
      </c>
      <c r="I144" s="90">
        <f t="shared" si="16"/>
        <v>0</v>
      </c>
      <c r="J144" s="144"/>
      <c r="K144" s="153"/>
      <c r="L144" s="91"/>
    </row>
    <row r="145" spans="1:12" s="102" customFormat="1" ht="18.75" hidden="1">
      <c r="A145" s="105" t="s">
        <v>92</v>
      </c>
      <c r="B145" s="140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4"/>
      <c r="K145" s="153"/>
      <c r="L145" s="91"/>
    </row>
    <row r="146" spans="1:12" s="102" customFormat="1" ht="18.75">
      <c r="A146" s="105" t="s">
        <v>97</v>
      </c>
      <c r="B146" s="142">
        <f>63378.3+215.3+2857.1+1855.9+14000+1552.3</f>
        <v>83858.90000000001</v>
      </c>
      <c r="C146" s="98">
        <f>56447.1-100+1500-3000+10865.4+0.1+56196.1</f>
        <v>121908.70000000001</v>
      </c>
      <c r="D146" s="9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</f>
        <v>68087.90000000001</v>
      </c>
      <c r="E146" s="101">
        <f>D146/D107*100</f>
        <v>15.465889948701363</v>
      </c>
      <c r="F146" s="89">
        <f t="shared" si="19"/>
        <v>81.19340940556101</v>
      </c>
      <c r="G146" s="89">
        <f t="shared" si="14"/>
        <v>55.85155120184203</v>
      </c>
      <c r="H146" s="90">
        <f t="shared" si="18"/>
        <v>15771</v>
      </c>
      <c r="I146" s="90">
        <f t="shared" si="16"/>
        <v>53820.8</v>
      </c>
      <c r="J146" s="144"/>
      <c r="K146" s="153"/>
      <c r="L146" s="91"/>
    </row>
    <row r="147" spans="1:12" s="102" customFormat="1" ht="18.75" hidden="1">
      <c r="A147" s="105" t="s">
        <v>86</v>
      </c>
      <c r="B147" s="140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4"/>
      <c r="K147" s="153"/>
      <c r="L147" s="91"/>
    </row>
    <row r="148" spans="1:12" s="102" customFormat="1" ht="37.5" hidden="1">
      <c r="A148" s="105" t="s">
        <v>104</v>
      </c>
      <c r="B148" s="140"/>
      <c r="C148" s="98"/>
      <c r="D148" s="99"/>
      <c r="E148" s="101">
        <f>D148/D109*100</f>
        <v>0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4"/>
      <c r="K148" s="153"/>
      <c r="L148" s="91"/>
    </row>
    <row r="149" spans="1:12" s="102" customFormat="1" ht="18.75">
      <c r="A149" s="97" t="s">
        <v>98</v>
      </c>
      <c r="B149" s="142">
        <v>128.19706</v>
      </c>
      <c r="C149" s="98">
        <v>162.3</v>
      </c>
      <c r="D149" s="99">
        <f>46.4+43+38.8</f>
        <v>128.2</v>
      </c>
      <c r="E149" s="101">
        <f>D149/D107*100</f>
        <v>0.0291201093207973</v>
      </c>
      <c r="F149" s="89">
        <f t="shared" si="19"/>
        <v>100.00229334432473</v>
      </c>
      <c r="G149" s="89">
        <f t="shared" si="14"/>
        <v>78.98952556993221</v>
      </c>
      <c r="H149" s="90">
        <f t="shared" si="18"/>
        <v>-0.0029399999999952797</v>
      </c>
      <c r="I149" s="90">
        <f t="shared" si="16"/>
        <v>34.10000000000002</v>
      </c>
      <c r="J149" s="144"/>
      <c r="K149" s="153"/>
      <c r="L149" s="91"/>
    </row>
    <row r="150" spans="1:12" s="102" customFormat="1" ht="18" customHeight="1">
      <c r="A150" s="97" t="s">
        <v>77</v>
      </c>
      <c r="B150" s="142">
        <v>11221.5</v>
      </c>
      <c r="C150" s="98">
        <v>11593.4</v>
      </c>
      <c r="D150" s="99">
        <f>791.9+575.3+777.6+830.9+722.1+47.7+657.7+821-47.6+744.9+750.8+1599.5+613.3+554.9+554.9</f>
        <v>9994.899999999998</v>
      </c>
      <c r="E150" s="101">
        <f>D150/D107*100</f>
        <v>2.270300941111052</v>
      </c>
      <c r="F150" s="89">
        <f t="shared" si="19"/>
        <v>89.06919752261282</v>
      </c>
      <c r="G150" s="89">
        <f t="shared" si="14"/>
        <v>86.21198267980056</v>
      </c>
      <c r="H150" s="90">
        <f t="shared" si="18"/>
        <v>1226.6000000000022</v>
      </c>
      <c r="I150" s="90">
        <f t="shared" si="16"/>
        <v>1598.5000000000018</v>
      </c>
      <c r="J150" s="144"/>
      <c r="K150" s="153"/>
      <c r="L150" s="91"/>
    </row>
    <row r="151" spans="1:12" s="102" customFormat="1" ht="19.5" customHeight="1">
      <c r="A151" s="97" t="s">
        <v>50</v>
      </c>
      <c r="B151" s="142">
        <f>289360.2-1612.3-1000-1425.5-646.6-194.6+6232.7+2434+27883.6-1642.3-2049.5+567</f>
        <v>317906.70000000007</v>
      </c>
      <c r="C151" s="98">
        <v>322609.9</v>
      </c>
      <c r="D151" s="9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</f>
        <v>268484.6000000001</v>
      </c>
      <c r="E151" s="101">
        <f>D151/D107*100</f>
        <v>60.98518645047222</v>
      </c>
      <c r="F151" s="89">
        <f t="shared" si="19"/>
        <v>84.45389795182047</v>
      </c>
      <c r="G151" s="89">
        <f t="shared" si="14"/>
        <v>83.22267853528366</v>
      </c>
      <c r="H151" s="90">
        <f t="shared" si="18"/>
        <v>49422.09999999998</v>
      </c>
      <c r="I151" s="90">
        <f>C151-D151</f>
        <v>54125.29999999993</v>
      </c>
      <c r="K151" s="153"/>
      <c r="L151" s="91"/>
    </row>
    <row r="152" spans="1:12" s="102" customFormat="1" ht="18.75">
      <c r="A152" s="97" t="s">
        <v>99</v>
      </c>
      <c r="B152" s="142">
        <f>35193.4+3519.3</f>
        <v>38712.700000000004</v>
      </c>
      <c r="C152" s="98">
        <v>42232</v>
      </c>
      <c r="D152" s="99">
        <f>819+819+819.1+1062.3+1173.1+1173.1+1173.2+1173.1+1173.1+1173.2+1173.1+1173.1+1173.2+1173.1+1173.1+1173.1+1173.1+1173.1+1173.1+1173.1+1173.1+1173.1+1173.1+1173.1+1173.1+1173.1+1173.1+1173.1+1173.1+1173.1+1173.1+1173.1</f>
        <v>36366.49999999998</v>
      </c>
      <c r="E152" s="101">
        <f>D152/D107*100</f>
        <v>8.260502773906197</v>
      </c>
      <c r="F152" s="89">
        <f t="shared" si="17"/>
        <v>93.93945656076681</v>
      </c>
      <c r="G152" s="89">
        <f t="shared" si="14"/>
        <v>86.11124265959457</v>
      </c>
      <c r="H152" s="90">
        <f t="shared" si="18"/>
        <v>2346.200000000026</v>
      </c>
      <c r="I152" s="90">
        <f t="shared" si="16"/>
        <v>5865.500000000022</v>
      </c>
      <c r="K152" s="153"/>
      <c r="L152" s="91"/>
    </row>
    <row r="153" spans="1:12" s="2" customFormat="1" ht="19.5" thickBot="1">
      <c r="A153" s="26" t="s">
        <v>29</v>
      </c>
      <c r="B153" s="143"/>
      <c r="C153" s="60"/>
      <c r="D153" s="41">
        <f>D43+D69+D72+D77+D79+D87+D102+D107+D100+D84+D98</f>
        <v>451206.19999999995</v>
      </c>
      <c r="E153" s="14"/>
      <c r="F153" s="14"/>
      <c r="G153" s="6"/>
      <c r="H153" s="49"/>
      <c r="I153" s="41"/>
      <c r="K153" s="153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1957747.0550600002</v>
      </c>
      <c r="C154" s="37">
        <f>C6+C18+C33+C43+C51+C59+C69+C72+C77+C79+C87+C90+C95+C102+C107+C100+C84+C98+C45</f>
        <v>2206819.5999999996</v>
      </c>
      <c r="D154" s="37">
        <f>D6+D18+D33+D43+D51+D59+D69+D72+D77+D79+D87+D90+D95+D102+D107+D100+D84+D98+D45</f>
        <v>1738145.3000000003</v>
      </c>
      <c r="E154" s="25">
        <v>100</v>
      </c>
      <c r="F154" s="3">
        <f>D154/B154*100</f>
        <v>88.78293523709223</v>
      </c>
      <c r="G154" s="3">
        <f aca="true" t="shared" si="20" ref="G154:G160">D154/C154*100</f>
        <v>78.76245525461168</v>
      </c>
      <c r="H154" s="37">
        <f aca="true" t="shared" si="21" ref="H154:H160">B154-D154</f>
        <v>219601.75505999988</v>
      </c>
      <c r="I154" s="37">
        <f aca="true" t="shared" si="22" ref="I154:I160">C154-D154</f>
        <v>468674.29999999935</v>
      </c>
      <c r="K154" s="172"/>
      <c r="L154" s="157"/>
    </row>
    <row r="155" spans="1:12" ht="18.75">
      <c r="A155" s="15" t="s">
        <v>5</v>
      </c>
      <c r="B155" s="48">
        <f>B8+B20+B34+B52+B60+B91+B115+B120+B46+B142+B133+B103</f>
        <v>826558.6000000001</v>
      </c>
      <c r="C155" s="48">
        <f>C8+C20+C34+C52+C60+C91+C115+C120+C46+C142+C133+C103</f>
        <v>897190</v>
      </c>
      <c r="D155" s="48">
        <f>D8+D20+D34+D52+D60+D91+D115+D120+D46+D142+D133+D103</f>
        <v>764349.3100000003</v>
      </c>
      <c r="E155" s="6">
        <f>D155/D154*100</f>
        <v>43.9749950708954</v>
      </c>
      <c r="F155" s="6">
        <f aca="true" t="shared" si="23" ref="F155:F160">D155/B155*100</f>
        <v>92.4736987794937</v>
      </c>
      <c r="G155" s="6">
        <f t="shared" si="20"/>
        <v>85.19369475807804</v>
      </c>
      <c r="H155" s="49">
        <f t="shared" si="21"/>
        <v>62209.289999999804</v>
      </c>
      <c r="I155" s="59">
        <f t="shared" si="22"/>
        <v>132840.6899999997</v>
      </c>
      <c r="K155" s="153"/>
      <c r="L155" s="157"/>
    </row>
    <row r="156" spans="1:12" ht="18.75">
      <c r="A156" s="15" t="s">
        <v>0</v>
      </c>
      <c r="B156" s="49">
        <f>B11+B23+B36+B55+B62+B92+B49+B143+B109+B112+B96+B140+B129</f>
        <v>93343.70000000003</v>
      </c>
      <c r="C156" s="49">
        <f>C11+C23+C36+C55+C62+C92+C49+C143+C109+C112+C96+C140+C129</f>
        <v>110563.99999999999</v>
      </c>
      <c r="D156" s="49">
        <f>D11+D23+D36+D55+D62+D92+D49+D143+D109+D112+D96+D140+D129</f>
        <v>74747.90000000001</v>
      </c>
      <c r="E156" s="6">
        <f>D156/D154*100</f>
        <v>4.3004402451279535</v>
      </c>
      <c r="F156" s="6">
        <f t="shared" si="23"/>
        <v>80.07814132073186</v>
      </c>
      <c r="G156" s="6">
        <f t="shared" si="20"/>
        <v>67.60600195361964</v>
      </c>
      <c r="H156" s="49">
        <f>B156-D156</f>
        <v>18595.800000000017</v>
      </c>
      <c r="I156" s="59">
        <f t="shared" si="22"/>
        <v>35816.09999999998</v>
      </c>
      <c r="K156" s="153"/>
      <c r="L156" s="158"/>
    </row>
    <row r="157" spans="1:12" ht="18.75">
      <c r="A157" s="15" t="s">
        <v>1</v>
      </c>
      <c r="B157" s="48">
        <f>B22+B10+B54+B48+B61+B35+B124</f>
        <v>37772.6</v>
      </c>
      <c r="C157" s="48">
        <f>C22+C10+C54+C48+C61+C35+C124</f>
        <v>42113.5</v>
      </c>
      <c r="D157" s="48">
        <f>D22+D10+D54+D48+D61+D35+D124</f>
        <v>31055.999999999996</v>
      </c>
      <c r="E157" s="6">
        <f>D157/D154*100</f>
        <v>1.7867320988642312</v>
      </c>
      <c r="F157" s="6">
        <f t="shared" si="23"/>
        <v>82.21832757077881</v>
      </c>
      <c r="G157" s="6">
        <f t="shared" si="20"/>
        <v>73.74357391335319</v>
      </c>
      <c r="H157" s="49">
        <f t="shared" si="21"/>
        <v>6716.600000000002</v>
      </c>
      <c r="I157" s="59">
        <f t="shared" si="22"/>
        <v>11057.500000000004</v>
      </c>
      <c r="K157" s="153"/>
      <c r="L157" s="157"/>
    </row>
    <row r="158" spans="1:12" ht="21" customHeight="1">
      <c r="A158" s="15" t="s">
        <v>14</v>
      </c>
      <c r="B158" s="48">
        <f>B12+B24+B104+B63+B38+B93+B131+B56+B138+B118</f>
        <v>28245.200000000004</v>
      </c>
      <c r="C158" s="48">
        <f>C12+C24+C104+C63+C38+C93+C131+C56+C138+C118</f>
        <v>30298.8</v>
      </c>
      <c r="D158" s="48">
        <f>D12+D24+D104+D63+D38+D93+D131+D56+D138+D118</f>
        <v>23838.499999999996</v>
      </c>
      <c r="E158" s="6">
        <f>D158/D154*100</f>
        <v>1.3714906342985245</v>
      </c>
      <c r="F158" s="6">
        <f t="shared" si="23"/>
        <v>84.39841105745398</v>
      </c>
      <c r="G158" s="6">
        <f t="shared" si="20"/>
        <v>78.67803345347009</v>
      </c>
      <c r="H158" s="49">
        <f>B158-D158</f>
        <v>4406.700000000008</v>
      </c>
      <c r="I158" s="59">
        <f t="shared" si="22"/>
        <v>6460.300000000003</v>
      </c>
      <c r="K158" s="153"/>
      <c r="L158" s="158"/>
    </row>
    <row r="159" spans="1:12" ht="18.75">
      <c r="A159" s="15" t="s">
        <v>2</v>
      </c>
      <c r="B159" s="48">
        <f>B9+B21+B47+B53+B123</f>
        <v>114.5</v>
      </c>
      <c r="C159" s="48">
        <f>C9+C21+C47+C53+C123</f>
        <v>114.48435</v>
      </c>
      <c r="D159" s="48">
        <f>D9+D21+D47+D53+D123</f>
        <v>50.400000000000006</v>
      </c>
      <c r="E159" s="6">
        <f>D159/D154*100</f>
        <v>0.002899642509748753</v>
      </c>
      <c r="F159" s="6">
        <f t="shared" si="23"/>
        <v>44.017467248908304</v>
      </c>
      <c r="G159" s="6">
        <f t="shared" si="20"/>
        <v>44.02348443258839</v>
      </c>
      <c r="H159" s="49">
        <f t="shared" si="21"/>
        <v>64.1</v>
      </c>
      <c r="I159" s="59">
        <f t="shared" si="22"/>
        <v>64.08435</v>
      </c>
      <c r="K159" s="153"/>
      <c r="L159" s="157"/>
    </row>
    <row r="160" spans="1:12" ht="19.5" thickBot="1">
      <c r="A160" s="81" t="s">
        <v>27</v>
      </c>
      <c r="B160" s="61">
        <f>B154-B155-B156-B157-B158-B159</f>
        <v>971712.4550600001</v>
      </c>
      <c r="C160" s="61">
        <f>C154-C155-C156-C157-C158-C159</f>
        <v>1126538.8156499995</v>
      </c>
      <c r="D160" s="61">
        <f>D154-D155-D156-D157-D158-D159</f>
        <v>844103.19</v>
      </c>
      <c r="E160" s="28">
        <f>D160/D154*100</f>
        <v>48.56344230830413</v>
      </c>
      <c r="F160" s="28">
        <f t="shared" si="23"/>
        <v>86.86758985176117</v>
      </c>
      <c r="G160" s="28">
        <f t="shared" si="20"/>
        <v>74.9289042040653</v>
      </c>
      <c r="H160" s="82">
        <f t="shared" si="21"/>
        <v>127609.26506000012</v>
      </c>
      <c r="I160" s="82">
        <f t="shared" si="22"/>
        <v>282435.6256499996</v>
      </c>
      <c r="K160" s="153"/>
      <c r="L160" s="158"/>
    </row>
    <row r="161" spans="7:8" ht="12.75">
      <c r="G161" s="159"/>
      <c r="H161" s="159"/>
    </row>
    <row r="162" spans="3:11" ht="12.75">
      <c r="C162" s="153"/>
      <c r="G162" s="159"/>
      <c r="H162" s="159"/>
      <c r="I162" s="159"/>
      <c r="K162" s="160"/>
    </row>
    <row r="163" spans="7:11" ht="12.75">
      <c r="G163" s="159"/>
      <c r="H163" s="159"/>
      <c r="K163" s="160"/>
    </row>
    <row r="164" spans="7:11" ht="12.75">
      <c r="G164" s="159"/>
      <c r="H164" s="159"/>
      <c r="K164" s="160"/>
    </row>
    <row r="165" spans="2:8" ht="12.75">
      <c r="B165" s="161"/>
      <c r="C165" s="161"/>
      <c r="D165" s="153"/>
      <c r="G165" s="159"/>
      <c r="H165" s="159"/>
    </row>
    <row r="166" spans="7:8" ht="12.75">
      <c r="G166" s="159"/>
      <c r="H166" s="159"/>
    </row>
    <row r="167" spans="2:8" ht="12.75">
      <c r="B167" s="161"/>
      <c r="C167" s="161"/>
      <c r="D167" s="161"/>
      <c r="G167" s="159"/>
      <c r="H167" s="159"/>
    </row>
    <row r="168" spans="2:8" ht="12.75">
      <c r="B168" s="161"/>
      <c r="G168" s="159"/>
      <c r="H168" s="159"/>
    </row>
    <row r="169" spans="2:8" ht="12.75">
      <c r="B169" s="161"/>
      <c r="C169" s="153"/>
      <c r="G169" s="159"/>
      <c r="H169" s="159"/>
    </row>
    <row r="170" spans="7:8" ht="12.75">
      <c r="G170" s="159"/>
      <c r="H170" s="159"/>
    </row>
    <row r="171" spans="7:8" ht="12.75">
      <c r="G171" s="159"/>
      <c r="H171" s="159"/>
    </row>
    <row r="172" spans="7:8" ht="12.75">
      <c r="G172" s="159"/>
      <c r="H172" s="159"/>
    </row>
    <row r="173" spans="7:8" ht="12.75">
      <c r="G173" s="159"/>
      <c r="H173" s="159"/>
    </row>
    <row r="174" spans="7:8" ht="12.75">
      <c r="G174" s="159"/>
      <c r="H174" s="159"/>
    </row>
    <row r="175" spans="3:8" ht="12.75">
      <c r="C175" s="153"/>
      <c r="G175" s="159"/>
      <c r="H175" s="159"/>
    </row>
    <row r="176" spans="7:8" ht="12.75">
      <c r="G176" s="159"/>
      <c r="H176" s="159"/>
    </row>
    <row r="177" spans="7:8" ht="12.75">
      <c r="G177" s="159"/>
      <c r="H177" s="159"/>
    </row>
    <row r="178" spans="7:8" ht="12.75">
      <c r="G178" s="159"/>
      <c r="H178" s="159"/>
    </row>
    <row r="179" spans="7:8" ht="12.75">
      <c r="G179" s="159"/>
      <c r="H179" s="159"/>
    </row>
    <row r="180" spans="7:8" ht="12.75">
      <c r="G180" s="159"/>
      <c r="H180" s="159"/>
    </row>
    <row r="181" spans="7:8" ht="12.75">
      <c r="G181" s="159"/>
      <c r="H181" s="159"/>
    </row>
    <row r="182" spans="7:8" ht="12.75">
      <c r="G182" s="159"/>
      <c r="H182" s="159"/>
    </row>
    <row r="183" spans="7:8" ht="12.75">
      <c r="G183" s="159"/>
      <c r="H183" s="159"/>
    </row>
    <row r="184" spans="7:8" ht="12.75">
      <c r="G184" s="159"/>
      <c r="H184" s="159"/>
    </row>
    <row r="185" spans="7:8" ht="12.75">
      <c r="G185" s="159"/>
      <c r="H185" s="159"/>
    </row>
    <row r="186" spans="7:8" ht="12.75">
      <c r="G186" s="159"/>
      <c r="H186" s="159"/>
    </row>
    <row r="187" spans="7:8" ht="12.75">
      <c r="G187" s="159"/>
      <c r="H187" s="159"/>
    </row>
    <row r="188" spans="7:8" ht="12.75">
      <c r="G188" s="159"/>
      <c r="H188" s="159"/>
    </row>
    <row r="189" spans="7:8" ht="12.75">
      <c r="G189" s="159"/>
      <c r="H189" s="159"/>
    </row>
    <row r="190" spans="7:8" ht="12.75">
      <c r="G190" s="159"/>
      <c r="H190" s="159"/>
    </row>
    <row r="191" spans="7:8" ht="12.75">
      <c r="G191" s="159"/>
      <c r="H191" s="159"/>
    </row>
    <row r="192" spans="7:8" ht="12.75">
      <c r="G192" s="159"/>
      <c r="H192" s="159"/>
    </row>
    <row r="193" spans="7:8" ht="12.75">
      <c r="G193" s="159"/>
      <c r="H193" s="159"/>
    </row>
    <row r="194" spans="7:8" ht="12.75">
      <c r="G194" s="159"/>
      <c r="H194" s="159"/>
    </row>
    <row r="195" spans="7:8" ht="12.75">
      <c r="G195" s="159"/>
      <c r="H195" s="159"/>
    </row>
    <row r="196" spans="7:8" ht="12.75">
      <c r="G196" s="159"/>
      <c r="H196" s="159"/>
    </row>
    <row r="197" spans="7:8" ht="12.75">
      <c r="G197" s="159"/>
      <c r="H197" s="159"/>
    </row>
    <row r="198" spans="7:8" ht="12.75">
      <c r="G198" s="159"/>
      <c r="H198" s="159"/>
    </row>
    <row r="199" spans="7:8" ht="12.75">
      <c r="G199" s="159"/>
      <c r="H199" s="159"/>
    </row>
    <row r="200" spans="7:8" ht="12.75">
      <c r="G200" s="159"/>
      <c r="H200" s="159"/>
    </row>
    <row r="201" spans="7:8" ht="12.75">
      <c r="G201" s="159"/>
      <c r="H201" s="159"/>
    </row>
    <row r="202" spans="7:8" ht="12.75">
      <c r="G202" s="159"/>
      <c r="H202" s="159"/>
    </row>
    <row r="203" spans="7:8" ht="12.75">
      <c r="G203" s="159"/>
      <c r="H203" s="159"/>
    </row>
    <row r="204" spans="7:8" ht="12.75">
      <c r="G204" s="159"/>
      <c r="H204" s="159"/>
    </row>
    <row r="205" spans="7:8" ht="12.75">
      <c r="G205" s="159"/>
      <c r="H205" s="159"/>
    </row>
    <row r="206" spans="7:8" ht="12.75">
      <c r="G206" s="159"/>
      <c r="H206" s="159"/>
    </row>
    <row r="207" spans="7:8" ht="12.75">
      <c r="G207" s="159"/>
      <c r="H207" s="159"/>
    </row>
    <row r="208" spans="7:8" ht="12.75">
      <c r="G208" s="159"/>
      <c r="H208" s="159"/>
    </row>
    <row r="209" spans="7:8" ht="12.75">
      <c r="G209" s="159"/>
      <c r="H209" s="159"/>
    </row>
    <row r="210" spans="7:8" ht="12.75">
      <c r="G210" s="159"/>
      <c r="H210" s="159"/>
    </row>
    <row r="211" spans="7:8" ht="12.75">
      <c r="G211" s="159"/>
      <c r="H211" s="159"/>
    </row>
    <row r="212" spans="7:8" ht="12.75">
      <c r="G212" s="159"/>
      <c r="H212" s="159"/>
    </row>
    <row r="213" spans="7:8" ht="12.75">
      <c r="G213" s="159"/>
      <c r="H213" s="159"/>
    </row>
    <row r="214" spans="7:8" ht="12.75">
      <c r="G214" s="159"/>
      <c r="H214" s="159"/>
    </row>
    <row r="215" spans="7:8" ht="12.75">
      <c r="G215" s="159"/>
      <c r="H215" s="159"/>
    </row>
    <row r="216" spans="7:8" ht="12.75">
      <c r="G216" s="159"/>
      <c r="H216" s="159"/>
    </row>
    <row r="217" spans="7:8" ht="12.75">
      <c r="G217" s="159"/>
      <c r="H217" s="159"/>
    </row>
    <row r="218" spans="7:8" ht="12.75">
      <c r="G218" s="159"/>
      <c r="H218" s="159"/>
    </row>
    <row r="219" spans="7:8" ht="12.75">
      <c r="G219" s="159"/>
      <c r="H219" s="159"/>
    </row>
    <row r="220" spans="7:8" ht="12.75">
      <c r="G220" s="159"/>
      <c r="H220" s="159"/>
    </row>
    <row r="221" spans="7:8" ht="12.75">
      <c r="G221" s="159"/>
      <c r="H221" s="159"/>
    </row>
    <row r="222" spans="7:8" ht="12.75">
      <c r="G222" s="159"/>
      <c r="H222" s="159"/>
    </row>
    <row r="223" spans="7:8" ht="12.75">
      <c r="G223" s="159"/>
      <c r="H223" s="159"/>
    </row>
    <row r="224" spans="7:8" ht="12.75">
      <c r="G224" s="159"/>
      <c r="H224" s="159"/>
    </row>
    <row r="225" spans="7:8" ht="12.75">
      <c r="G225" s="159"/>
      <c r="H225" s="159"/>
    </row>
    <row r="226" spans="7:8" ht="12.75">
      <c r="G226" s="159"/>
      <c r="H226" s="159"/>
    </row>
    <row r="227" spans="7:8" ht="12.75">
      <c r="G227" s="159"/>
      <c r="H227" s="159"/>
    </row>
    <row r="228" spans="7:8" ht="12.75">
      <c r="G228" s="159"/>
      <c r="H228" s="159"/>
    </row>
    <row r="229" spans="7:8" ht="12.75">
      <c r="G229" s="159"/>
      <c r="H229" s="159"/>
    </row>
    <row r="230" spans="7:8" ht="12.75">
      <c r="G230" s="159"/>
      <c r="H230" s="159"/>
    </row>
    <row r="231" spans="7:8" ht="12.75">
      <c r="G231" s="159"/>
      <c r="H231" s="159"/>
    </row>
    <row r="232" spans="7:8" ht="12.75">
      <c r="G232" s="159"/>
      <c r="H232" s="159"/>
    </row>
    <row r="233" spans="7:8" ht="12.75">
      <c r="G233" s="159"/>
      <c r="H233" s="159"/>
    </row>
    <row r="234" spans="7:8" ht="12.75">
      <c r="G234" s="159"/>
      <c r="H234" s="159"/>
    </row>
    <row r="235" spans="7:8" ht="12.75">
      <c r="G235" s="159"/>
      <c r="H235" s="159"/>
    </row>
    <row r="236" spans="7:8" ht="12.75">
      <c r="G236" s="159"/>
      <c r="H236" s="159"/>
    </row>
    <row r="237" spans="7:8" ht="12.75">
      <c r="G237" s="159"/>
      <c r="H237" s="159"/>
    </row>
    <row r="238" spans="7:8" ht="12.75">
      <c r="G238" s="159"/>
      <c r="H238" s="159"/>
    </row>
    <row r="239" spans="7:8" ht="12.75">
      <c r="G239" s="159"/>
      <c r="H239" s="159"/>
    </row>
    <row r="240" spans="7:8" ht="12.75">
      <c r="G240" s="159"/>
      <c r="H240" s="159"/>
    </row>
    <row r="241" spans="7:8" ht="12.75">
      <c r="G241" s="159"/>
      <c r="H241" s="159"/>
    </row>
    <row r="242" spans="7:8" ht="12.75">
      <c r="G242" s="159"/>
      <c r="H242" s="159"/>
    </row>
    <row r="243" spans="7:8" ht="12.75">
      <c r="G243" s="159"/>
      <c r="H243" s="159"/>
    </row>
    <row r="244" spans="7:8" ht="12.75">
      <c r="G244" s="159"/>
      <c r="H244" s="159"/>
    </row>
    <row r="245" spans="7:8" ht="12.75">
      <c r="G245" s="159"/>
      <c r="H245" s="159"/>
    </row>
    <row r="246" spans="7:8" ht="12.75">
      <c r="G246" s="159"/>
      <c r="H246" s="159"/>
    </row>
    <row r="247" spans="7:8" ht="12.75">
      <c r="G247" s="159"/>
      <c r="H247" s="159"/>
    </row>
    <row r="248" spans="7:8" ht="12.75">
      <c r="G248" s="159"/>
      <c r="H248" s="159"/>
    </row>
    <row r="249" spans="7:8" ht="12.75">
      <c r="G249" s="159"/>
      <c r="H249" s="159"/>
    </row>
    <row r="250" spans="7:8" ht="12.75">
      <c r="G250" s="159"/>
      <c r="H250" s="159"/>
    </row>
    <row r="251" spans="7:8" ht="12.75">
      <c r="G251" s="159"/>
      <c r="H251" s="159"/>
    </row>
    <row r="252" spans="7:8" ht="12.75">
      <c r="G252" s="159"/>
      <c r="H252" s="159"/>
    </row>
    <row r="253" spans="7:8" ht="12.75">
      <c r="G253" s="159"/>
      <c r="H253" s="159"/>
    </row>
    <row r="254" spans="7:8" ht="12.75">
      <c r="G254" s="159"/>
      <c r="H254" s="159"/>
    </row>
    <row r="255" spans="7:8" ht="12.75">
      <c r="G255" s="159"/>
      <c r="H255" s="159"/>
    </row>
    <row r="256" spans="7:8" ht="12.75">
      <c r="G256" s="159"/>
      <c r="H256" s="159"/>
    </row>
    <row r="257" spans="7:8" ht="12.75">
      <c r="G257" s="159"/>
      <c r="H257" s="159"/>
    </row>
    <row r="258" spans="7:8" ht="12.75">
      <c r="G258" s="159"/>
      <c r="H258" s="159"/>
    </row>
    <row r="259" spans="7:8" ht="12.75">
      <c r="G259" s="159"/>
      <c r="H259" s="159"/>
    </row>
    <row r="260" spans="7:8" ht="12.75">
      <c r="G260" s="159"/>
      <c r="H260" s="159"/>
    </row>
    <row r="261" spans="7:8" ht="12.75">
      <c r="G261" s="159"/>
      <c r="H261" s="159"/>
    </row>
    <row r="262" spans="7:8" ht="12.75">
      <c r="G262" s="159"/>
      <c r="H262" s="159"/>
    </row>
    <row r="263" spans="7:8" ht="12.75">
      <c r="G263" s="159"/>
      <c r="H263" s="159"/>
    </row>
    <row r="264" spans="7:8" ht="12.75">
      <c r="G264" s="159"/>
      <c r="H264" s="159"/>
    </row>
    <row r="265" spans="7:8" ht="12.75">
      <c r="G265" s="159"/>
      <c r="H265" s="159"/>
    </row>
    <row r="266" spans="7:8" ht="12.75">
      <c r="G266" s="159"/>
      <c r="H266" s="159"/>
    </row>
    <row r="267" spans="7:8" ht="12.75">
      <c r="G267" s="159"/>
      <c r="H267" s="159"/>
    </row>
    <row r="268" spans="7:8" ht="12.75">
      <c r="G268" s="159"/>
      <c r="H268" s="159"/>
    </row>
    <row r="269" spans="7:8" ht="12.75">
      <c r="G269" s="159"/>
      <c r="H269" s="159"/>
    </row>
    <row r="270" spans="7:8" ht="12.75">
      <c r="G270" s="159"/>
      <c r="H270" s="159"/>
    </row>
    <row r="271" spans="7:8" ht="12.75">
      <c r="G271" s="159"/>
      <c r="H271" s="159"/>
    </row>
    <row r="272" spans="7:8" ht="12.75">
      <c r="G272" s="159"/>
      <c r="H272" s="159"/>
    </row>
    <row r="273" spans="7:8" ht="12.75">
      <c r="G273" s="159"/>
      <c r="H273" s="159"/>
    </row>
    <row r="274" spans="7:8" ht="12.75">
      <c r="G274" s="159"/>
      <c r="H274" s="159"/>
    </row>
    <row r="275" spans="7:8" ht="12.75">
      <c r="G275" s="159"/>
      <c r="H275" s="159"/>
    </row>
    <row r="276" spans="7:8" ht="12.75">
      <c r="G276" s="159"/>
      <c r="H276" s="159"/>
    </row>
    <row r="277" spans="7:8" ht="12.75">
      <c r="G277" s="159"/>
      <c r="H277" s="159"/>
    </row>
    <row r="278" spans="7:8" ht="12.75">
      <c r="G278" s="159"/>
      <c r="H278" s="159"/>
    </row>
    <row r="279" spans="7:8" ht="12.75">
      <c r="G279" s="159"/>
      <c r="H279" s="159"/>
    </row>
    <row r="280" spans="7:8" ht="12.75">
      <c r="G280" s="159"/>
      <c r="H280" s="159"/>
    </row>
    <row r="281" spans="7:8" ht="12.75">
      <c r="G281" s="159"/>
      <c r="H281" s="159"/>
    </row>
    <row r="282" spans="7:8" ht="12.75">
      <c r="G282" s="159"/>
      <c r="H282" s="159"/>
    </row>
    <row r="283" spans="7:8" ht="12.75">
      <c r="G283" s="159"/>
      <c r="H283" s="159"/>
    </row>
    <row r="284" spans="7:8" ht="12.75">
      <c r="G284" s="159"/>
      <c r="H284" s="159"/>
    </row>
    <row r="285" spans="7:8" ht="12.75">
      <c r="G285" s="159"/>
      <c r="H285" s="159"/>
    </row>
    <row r="286" spans="7:8" ht="12.75">
      <c r="G286" s="159"/>
      <c r="H286" s="159"/>
    </row>
    <row r="287" spans="7:8" ht="12.75">
      <c r="G287" s="159"/>
      <c r="H287" s="159"/>
    </row>
    <row r="288" spans="7:8" ht="12.75">
      <c r="G288" s="159"/>
      <c r="H288" s="159"/>
    </row>
    <row r="289" spans="7:8" ht="12.75">
      <c r="G289" s="159"/>
      <c r="H289" s="159"/>
    </row>
    <row r="290" spans="7:8" ht="12.75">
      <c r="G290" s="159"/>
      <c r="H290" s="159"/>
    </row>
    <row r="291" spans="7:8" ht="12.75">
      <c r="G291" s="159"/>
      <c r="H291" s="159"/>
    </row>
    <row r="292" spans="7:8" ht="12.75">
      <c r="G292" s="159"/>
      <c r="H292" s="159"/>
    </row>
    <row r="293" spans="7:8" ht="12.75">
      <c r="G293" s="159"/>
      <c r="H293" s="159"/>
    </row>
    <row r="294" spans="7:8" ht="12.75">
      <c r="G294" s="159"/>
      <c r="H294" s="159"/>
    </row>
    <row r="295" spans="7:8" ht="12.75">
      <c r="G295" s="159"/>
      <c r="H295" s="159"/>
    </row>
    <row r="296" spans="7:8" ht="12.75">
      <c r="G296" s="159"/>
      <c r="H296" s="159"/>
    </row>
    <row r="297" spans="7:8" ht="12.75">
      <c r="G297" s="159"/>
      <c r="H297" s="159"/>
    </row>
    <row r="298" spans="7:8" ht="12.75">
      <c r="G298" s="159"/>
      <c r="H298" s="159"/>
    </row>
    <row r="299" spans="7:8" ht="12.75">
      <c r="G299" s="159"/>
      <c r="H299" s="159"/>
    </row>
    <row r="300" spans="7:8" ht="12.75">
      <c r="G300" s="159"/>
      <c r="H300" s="159"/>
    </row>
    <row r="301" spans="7:8" ht="12.75">
      <c r="G301" s="159"/>
      <c r="H301" s="159"/>
    </row>
    <row r="302" spans="7:8" ht="12.75">
      <c r="G302" s="159"/>
      <c r="H302" s="159"/>
    </row>
    <row r="303" spans="7:8" ht="12.75">
      <c r="G303" s="159"/>
      <c r="H303" s="159"/>
    </row>
    <row r="304" spans="7:8" ht="12.75">
      <c r="G304" s="159"/>
      <c r="H304" s="159"/>
    </row>
    <row r="305" spans="7:8" ht="12.75">
      <c r="G305" s="159"/>
      <c r="H305" s="159"/>
    </row>
    <row r="306" spans="7:8" ht="12.75">
      <c r="G306" s="159"/>
      <c r="H306" s="159"/>
    </row>
    <row r="307" spans="7:8" ht="12.75">
      <c r="G307" s="159"/>
      <c r="H307" s="159"/>
    </row>
    <row r="308" spans="7:8" ht="12.75">
      <c r="G308" s="159"/>
      <c r="H308" s="159"/>
    </row>
    <row r="309" spans="7:8" ht="12.75">
      <c r="G309" s="159"/>
      <c r="H309" s="159"/>
    </row>
    <row r="310" spans="7:8" ht="12.75">
      <c r="G310" s="159"/>
      <c r="H310" s="159"/>
    </row>
    <row r="311" spans="7:8" ht="12.75">
      <c r="G311" s="159"/>
      <c r="H311" s="159"/>
    </row>
    <row r="312" spans="7:8" ht="12.75">
      <c r="G312" s="159"/>
      <c r="H312" s="159"/>
    </row>
    <row r="313" spans="7:8" ht="12.75">
      <c r="G313" s="159"/>
      <c r="H313" s="159"/>
    </row>
    <row r="314" spans="7:8" ht="12.75">
      <c r="G314" s="159"/>
      <c r="H314" s="159"/>
    </row>
    <row r="315" spans="7:8" ht="12.75">
      <c r="G315" s="159"/>
      <c r="H315" s="159"/>
    </row>
    <row r="316" spans="7:8" ht="12.75">
      <c r="G316" s="159"/>
      <c r="H316" s="159"/>
    </row>
    <row r="317" spans="7:8" ht="12.75">
      <c r="G317" s="159"/>
      <c r="H317" s="159"/>
    </row>
    <row r="318" spans="7:8" ht="12.75">
      <c r="G318" s="159"/>
      <c r="H318" s="159"/>
    </row>
    <row r="319" spans="7:8" ht="12.75">
      <c r="G319" s="159"/>
      <c r="H319" s="159"/>
    </row>
    <row r="320" spans="7:8" ht="12.75">
      <c r="G320" s="159"/>
      <c r="H320" s="159"/>
    </row>
    <row r="321" spans="7:8" ht="12.75">
      <c r="G321" s="159"/>
      <c r="H321" s="159"/>
    </row>
    <row r="322" spans="7:8" ht="12.75">
      <c r="G322" s="159"/>
      <c r="H322" s="159"/>
    </row>
    <row r="323" spans="7:8" ht="12.75">
      <c r="G323" s="159"/>
      <c r="H323" s="159"/>
    </row>
    <row r="324" spans="7:8" ht="12.75">
      <c r="G324" s="159"/>
      <c r="H324" s="159"/>
    </row>
    <row r="325" spans="7:8" ht="12.75">
      <c r="G325" s="159"/>
      <c r="H325" s="159"/>
    </row>
    <row r="326" spans="7:8" ht="12.75">
      <c r="G326" s="159"/>
      <c r="H326" s="159"/>
    </row>
    <row r="327" spans="7:8" ht="12.75">
      <c r="G327" s="159"/>
      <c r="H327" s="159"/>
    </row>
    <row r="328" spans="7:8" ht="12.75">
      <c r="G328" s="159"/>
      <c r="H328" s="159"/>
    </row>
    <row r="329" spans="7:8" ht="12.75">
      <c r="G329" s="159"/>
      <c r="H329" s="159"/>
    </row>
    <row r="330" spans="7:8" ht="12.75">
      <c r="G330" s="159"/>
      <c r="H330" s="159"/>
    </row>
    <row r="331" spans="7:8" ht="12.75">
      <c r="G331" s="159"/>
      <c r="H331" s="159"/>
    </row>
    <row r="332" spans="7:8" ht="12.75">
      <c r="G332" s="159"/>
      <c r="H332" s="159"/>
    </row>
    <row r="333" spans="7:8" ht="12.75">
      <c r="G333" s="159"/>
      <c r="H333" s="159"/>
    </row>
    <row r="334" spans="7:8" ht="12.75">
      <c r="G334" s="159"/>
      <c r="H334" s="159"/>
    </row>
    <row r="335" spans="7:8" ht="12.75">
      <c r="G335" s="159"/>
      <c r="H335" s="159"/>
    </row>
    <row r="336" spans="7:8" ht="12.75">
      <c r="G336" s="159"/>
      <c r="H336" s="159"/>
    </row>
    <row r="337" spans="7:8" ht="12.75">
      <c r="G337" s="159"/>
      <c r="H337" s="159"/>
    </row>
    <row r="338" spans="7:8" ht="12.75">
      <c r="G338" s="159"/>
      <c r="H338" s="159"/>
    </row>
    <row r="339" spans="7:8" ht="12.75">
      <c r="G339" s="159"/>
      <c r="H339" s="159"/>
    </row>
    <row r="340" spans="7:8" ht="12.75">
      <c r="G340" s="159"/>
      <c r="H340" s="159"/>
    </row>
    <row r="341" spans="7:8" ht="12.75">
      <c r="G341" s="159"/>
      <c r="H341" s="159"/>
    </row>
    <row r="342" spans="7:8" ht="12.75">
      <c r="G342" s="159"/>
      <c r="H342" s="159"/>
    </row>
    <row r="343" spans="7:8" ht="12.75">
      <c r="G343" s="159"/>
      <c r="H343" s="159"/>
    </row>
    <row r="344" spans="7:8" ht="12.75">
      <c r="G344" s="159"/>
      <c r="H344" s="159"/>
    </row>
    <row r="345" spans="7:8" ht="12.75">
      <c r="G345" s="159"/>
      <c r="H345" s="159"/>
    </row>
    <row r="346" spans="7:8" ht="12.75">
      <c r="G346" s="159"/>
      <c r="H346" s="159"/>
    </row>
    <row r="347" spans="7:8" ht="12.75">
      <c r="G347" s="159"/>
      <c r="H347" s="159"/>
    </row>
    <row r="348" spans="7:8" ht="12.75">
      <c r="G348" s="159"/>
      <c r="H348" s="159"/>
    </row>
    <row r="349" spans="7:8" ht="12.75">
      <c r="G349" s="159"/>
      <c r="H349" s="159"/>
    </row>
    <row r="350" spans="7:8" ht="12.75">
      <c r="G350" s="159"/>
      <c r="H350" s="159"/>
    </row>
    <row r="351" spans="7:8" ht="12.75">
      <c r="G351" s="159"/>
      <c r="H351" s="159"/>
    </row>
    <row r="352" spans="7:8" ht="12.75">
      <c r="G352" s="159"/>
      <c r="H352" s="159"/>
    </row>
    <row r="353" spans="7:8" ht="12.75">
      <c r="G353" s="159"/>
      <c r="H353" s="159"/>
    </row>
    <row r="354" spans="7:8" ht="12.75">
      <c r="G354" s="159"/>
      <c r="H354" s="159"/>
    </row>
    <row r="355" spans="7:8" ht="12.75">
      <c r="G355" s="159"/>
      <c r="H355" s="159"/>
    </row>
    <row r="356" spans="7:8" ht="12.75">
      <c r="G356" s="159"/>
      <c r="H356" s="159"/>
    </row>
    <row r="357" spans="7:8" ht="12.75">
      <c r="G357" s="159"/>
      <c r="H357" s="159"/>
    </row>
    <row r="358" spans="7:8" ht="12.75">
      <c r="G358" s="159"/>
      <c r="H358" s="159"/>
    </row>
    <row r="359" spans="7:8" ht="12.75">
      <c r="G359" s="159"/>
      <c r="H359" s="159"/>
    </row>
    <row r="360" spans="7:8" ht="12.75">
      <c r="G360" s="159"/>
      <c r="H360" s="159"/>
    </row>
    <row r="361" spans="7:8" ht="12.75">
      <c r="G361" s="159"/>
      <c r="H361" s="159"/>
    </row>
    <row r="362" spans="7:8" ht="12.75">
      <c r="G362" s="159"/>
      <c r="H362" s="159"/>
    </row>
    <row r="363" spans="7:8" ht="12.75">
      <c r="G363" s="159"/>
      <c r="H363" s="159"/>
    </row>
    <row r="364" spans="7:8" ht="12.75">
      <c r="G364" s="159"/>
      <c r="H364" s="159"/>
    </row>
    <row r="365" spans="7:8" ht="12.75">
      <c r="G365" s="159"/>
      <c r="H365" s="159"/>
    </row>
    <row r="366" spans="7:8" ht="12.75">
      <c r="G366" s="159"/>
      <c r="H366" s="159"/>
    </row>
    <row r="367" spans="7:8" ht="12.75">
      <c r="G367" s="159"/>
      <c r="H367" s="159"/>
    </row>
    <row r="368" spans="7:8" ht="12.75">
      <c r="G368" s="159"/>
      <c r="H368" s="159"/>
    </row>
    <row r="369" spans="7:8" ht="12.75">
      <c r="G369" s="159"/>
      <c r="H369" s="159"/>
    </row>
    <row r="370" spans="7:8" ht="12.75">
      <c r="G370" s="159"/>
      <c r="H370" s="159"/>
    </row>
    <row r="371" spans="7:8" ht="12.75">
      <c r="G371" s="159"/>
      <c r="H371" s="159"/>
    </row>
    <row r="372" spans="7:8" ht="12.75">
      <c r="G372" s="159"/>
      <c r="H372" s="159"/>
    </row>
    <row r="373" spans="7:8" ht="12.75">
      <c r="G373" s="159"/>
      <c r="H373" s="159"/>
    </row>
    <row r="374" spans="7:8" ht="12.75">
      <c r="G374" s="159"/>
      <c r="H374" s="159"/>
    </row>
    <row r="375" spans="7:8" ht="12.75">
      <c r="G375" s="159"/>
      <c r="H375" s="159"/>
    </row>
    <row r="376" spans="7:8" ht="12.75">
      <c r="G376" s="159"/>
      <c r="H376" s="159"/>
    </row>
    <row r="377" spans="7:8" ht="12.75">
      <c r="G377" s="159"/>
      <c r="H377" s="159"/>
    </row>
    <row r="378" spans="7:8" ht="12.75">
      <c r="G378" s="159"/>
      <c r="H378" s="159"/>
    </row>
    <row r="379" spans="7:8" ht="12.75">
      <c r="G379" s="159"/>
      <c r="H379" s="159"/>
    </row>
    <row r="380" spans="7:8" ht="12.75">
      <c r="G380" s="159"/>
      <c r="H380" s="159"/>
    </row>
    <row r="381" spans="7:8" ht="12.75">
      <c r="G381" s="159"/>
      <c r="H381" s="159"/>
    </row>
    <row r="382" spans="7:8" ht="12.75">
      <c r="G382" s="159"/>
      <c r="H382" s="159"/>
    </row>
    <row r="383" spans="7:8" ht="12.75">
      <c r="G383" s="159"/>
      <c r="H383" s="159"/>
    </row>
    <row r="384" spans="7:8" ht="12.75">
      <c r="G384" s="159"/>
      <c r="H384" s="159"/>
    </row>
    <row r="385" spans="7:8" ht="12.75">
      <c r="G385" s="159"/>
      <c r="H385" s="159"/>
    </row>
    <row r="386" spans="7:8" ht="12.75">
      <c r="G386" s="159"/>
      <c r="H386" s="159"/>
    </row>
    <row r="387" spans="7:8" ht="12.75">
      <c r="G387" s="159"/>
      <c r="H387" s="159"/>
    </row>
    <row r="388" spans="7:8" ht="12.75">
      <c r="G388" s="159"/>
      <c r="H388" s="159"/>
    </row>
    <row r="389" spans="7:8" ht="12.75">
      <c r="G389" s="159"/>
      <c r="H389" s="159"/>
    </row>
    <row r="390" spans="7:8" ht="12.75">
      <c r="G390" s="159"/>
      <c r="H390" s="159"/>
    </row>
    <row r="391" spans="7:8" ht="12.75">
      <c r="G391" s="159"/>
      <c r="H391" s="159"/>
    </row>
    <row r="392" spans="7:8" ht="12.75">
      <c r="G392" s="159"/>
      <c r="H392" s="159"/>
    </row>
    <row r="393" spans="7:8" ht="12.75">
      <c r="G393" s="159"/>
      <c r="H393" s="159"/>
    </row>
    <row r="394" spans="7:8" ht="12.75">
      <c r="G394" s="159"/>
      <c r="H394" s="159"/>
    </row>
    <row r="395" spans="7:8" ht="12.75">
      <c r="G395" s="159"/>
      <c r="H395" s="159"/>
    </row>
    <row r="396" spans="7:8" ht="12.75">
      <c r="G396" s="159"/>
      <c r="H396" s="159"/>
    </row>
    <row r="397" spans="7:8" ht="12.75">
      <c r="G397" s="159"/>
      <c r="H397" s="159"/>
    </row>
    <row r="398" spans="7:8" ht="12.75">
      <c r="G398" s="159"/>
      <c r="H398" s="159"/>
    </row>
    <row r="399" spans="7:8" ht="12.75">
      <c r="G399" s="159"/>
      <c r="H399" s="159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2206819.5999999996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1738145.3000000003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2206819.5999999996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1738145.3000000003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2018-11-02T12:40:12Z</cp:lastPrinted>
  <dcterms:created xsi:type="dcterms:W3CDTF">2000-06-20T04:48:00Z</dcterms:created>
  <dcterms:modified xsi:type="dcterms:W3CDTF">2018-11-14T11:32:57Z</dcterms:modified>
  <cp:category/>
  <cp:version/>
  <cp:contentType/>
  <cp:contentStatus/>
</cp:coreProperties>
</file>